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sheetId="1" state="visible" r:id="rId1"/>
    <sheet name="Assumptions" sheetId="2" state="visible" r:id="rId2"/>
    <sheet name="Road Inventory" sheetId="3" state="visible" r:id="rId3"/>
    <sheet name="Cost Ladder" sheetId="4" state="visible" r:id="rId4"/>
    <sheet name="Scope Shift" sheetId="5" state="visible" r:id="rId5"/>
    <sheet name="Decay Calibration" sheetId="6" state="visible" r:id="rId6"/>
    <sheet name="Bid Buildup" sheetId="7" state="visible" r:id="rId7"/>
  </sheets>
  <definedNames/>
  <calcPr calcId="124519" fullCalcOnLoad="1"/>
</workbook>
</file>

<file path=xl/styles.xml><?xml version="1.0" encoding="utf-8"?>
<styleSheet xmlns="http://schemas.openxmlformats.org/spreadsheetml/2006/main">
  <numFmts count="7">
    <numFmt numFmtId="164" formatCode="0.0000"/>
    <numFmt numFmtId="165" formatCode="0.0"/>
    <numFmt numFmtId="166" formatCode="0.0%"/>
    <numFmt numFmtId="167" formatCode="0.000"/>
    <numFmt numFmtId="168" formatCode="#,##0.000"/>
    <numFmt numFmtId="169" formatCode="$#,##0"/>
    <numFmt numFmtId="170" formatCode="$#,##0;[Red]-$#,##0"/>
  </numFmts>
  <fonts count="6">
    <font>
      <name val="Calibri"/>
      <family val="2"/>
      <color theme="1"/>
      <sz val="11"/>
      <scheme val="minor"/>
    </font>
    <font>
      <name val="Calibri"/>
      <b val="1"/>
      <sz val="14"/>
    </font>
    <font>
      <name val="Calibri"/>
      <color rgb="FF78716C"/>
      <sz val="9"/>
    </font>
    <font>
      <name val="Calibri"/>
      <sz val="10"/>
    </font>
    <font>
      <name val="Calibri"/>
      <b val="1"/>
      <sz val="10"/>
    </font>
    <font>
      <name val="Calibri"/>
      <b val="1"/>
      <color rgb="FFFFFFFF"/>
      <sz val="9"/>
    </font>
  </fonts>
  <fills count="4">
    <fill>
      <patternFill/>
    </fill>
    <fill>
      <patternFill patternType="gray125"/>
    </fill>
    <fill>
      <patternFill patternType="solid">
        <fgColor rgb="FF44403C"/>
      </patternFill>
    </fill>
    <fill>
      <patternFill patternType="solid">
        <fgColor rgb="FFFAF9F6"/>
      </patternFill>
    </fill>
  </fills>
  <borders count="2">
    <border>
      <left/>
      <right/>
      <top/>
      <bottom/>
      <diagonal/>
    </border>
    <border>
      <left style="thin">
        <color rgb="FFD6D3D1"/>
      </left>
      <right style="thin">
        <color rgb="FFD6D3D1"/>
      </right>
      <top style="thin">
        <color rgb="FFD6D3D1"/>
      </top>
      <bottom style="thin">
        <color rgb="FFD6D3D1"/>
      </bottom>
    </border>
  </borders>
  <cellStyleXfs count="1">
    <xf numFmtId="0" fontId="0" fillId="0" borderId="0"/>
  </cellStyleXfs>
  <cellXfs count="40">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1" fillId="0" borderId="0" pivotButton="0" quotePrefix="0" xfId="0"/>
    <xf numFmtId="0" fontId="2" fillId="0" borderId="0" pivotButton="0" quotePrefix="0" xfId="0"/>
    <xf numFmtId="0" fontId="5" fillId="2" borderId="1" pivotButton="0" quotePrefix="0" xfId="0"/>
    <xf numFmtId="0" fontId="3" fillId="0" borderId="1" pivotButton="0" quotePrefix="0" xfId="0"/>
    <xf numFmtId="2" fontId="0" fillId="0" borderId="1" pivotButton="0" quotePrefix="0" xfId="0"/>
    <xf numFmtId="164" fontId="4" fillId="0" borderId="1" pivotButton="0" quotePrefix="0" xfId="0"/>
    <xf numFmtId="0" fontId="2" fillId="0" borderId="1" applyAlignment="1" pivotButton="0" quotePrefix="0" xfId="0">
      <alignment vertical="top" wrapText="1"/>
    </xf>
    <xf numFmtId="0" fontId="4" fillId="0" borderId="0" pivotButton="0" quotePrefix="0" xfId="0"/>
    <xf numFmtId="165" fontId="4" fillId="0" borderId="1" pivotButton="0" quotePrefix="0" xfId="0"/>
    <xf numFmtId="9" fontId="4" fillId="0" borderId="1" pivotButton="0" quotePrefix="0" xfId="0"/>
    <xf numFmtId="166" fontId="4" fillId="0" borderId="1" pivotButton="0" quotePrefix="0" xfId="0"/>
    <xf numFmtId="1" fontId="4" fillId="0" borderId="1" pivotButton="0" quotePrefix="0" xfId="0"/>
    <xf numFmtId="0" fontId="0" fillId="0" borderId="1" pivotButton="0" quotePrefix="0" xfId="0"/>
    <xf numFmtId="164" fontId="0" fillId="0" borderId="1" pivotButton="0" quotePrefix="0" xfId="0"/>
    <xf numFmtId="0" fontId="5" fillId="2" borderId="1" applyAlignment="1" pivotButton="0" quotePrefix="0" xfId="0">
      <alignment horizontal="center" vertical="center" wrapText="1"/>
    </xf>
    <xf numFmtId="167" fontId="3" fillId="0" borderId="1" pivotButton="0" quotePrefix="0" xfId="0"/>
    <xf numFmtId="3" fontId="3" fillId="0" borderId="1" pivotButton="0" quotePrefix="0" xfId="0"/>
    <xf numFmtId="2" fontId="3" fillId="0" borderId="1" pivotButton="0" quotePrefix="0" xfId="0"/>
    <xf numFmtId="2" fontId="3" fillId="3" borderId="1" pivotButton="0" quotePrefix="0" xfId="0"/>
    <xf numFmtId="0" fontId="3" fillId="3" borderId="1" pivotButton="0" quotePrefix="0" xfId="0"/>
    <xf numFmtId="0" fontId="4" fillId="3" borderId="1" pivotButton="0" quotePrefix="0" xfId="0"/>
    <xf numFmtId="0" fontId="0" fillId="3" borderId="1" pivotButton="0" quotePrefix="0" xfId="0"/>
    <xf numFmtId="168" fontId="4" fillId="3" borderId="1" pivotButton="0" quotePrefix="0" xfId="0"/>
    <xf numFmtId="3" fontId="4" fillId="3" borderId="1" pivotButton="0" quotePrefix="0" xfId="0"/>
    <xf numFmtId="0" fontId="4" fillId="0" borderId="1" pivotButton="0" quotePrefix="0" xfId="0"/>
    <xf numFmtId="169" fontId="0" fillId="0" borderId="1" pivotButton="0" quotePrefix="0" xfId="0"/>
    <xf numFmtId="169" fontId="4" fillId="3" borderId="1" pivotButton="0" quotePrefix="0" xfId="0"/>
    <xf numFmtId="169" fontId="4" fillId="0" borderId="1" pivotButton="0" quotePrefix="0" xfId="0"/>
    <xf numFmtId="170" fontId="0" fillId="0" borderId="1" pivotButton="0" quotePrefix="0" xfId="0"/>
    <xf numFmtId="166" fontId="0" fillId="0" borderId="1" pivotButton="0" quotePrefix="0" xfId="0"/>
    <xf numFmtId="2" fontId="4" fillId="3" borderId="1" pivotButton="0" quotePrefix="0" xfId="0"/>
    <xf numFmtId="0" fontId="3" fillId="0" borderId="1" applyAlignment="1" pivotButton="0" quotePrefix="0" xfId="0">
      <alignment vertical="top" wrapText="1"/>
    </xf>
    <xf numFmtId="169" fontId="3" fillId="0" borderId="1" applyAlignment="1" pivotButton="0" quotePrefix="0" xfId="0">
      <alignment vertical="top" wrapText="1"/>
    </xf>
    <xf numFmtId="0" fontId="4" fillId="3" borderId="1" applyAlignment="1" pivotButton="0" quotePrefix="0" xfId="0">
      <alignment vertical="top" wrapText="1"/>
    </xf>
    <xf numFmtId="169" fontId="4"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0" customWidth="1" min="1" max="1"/>
  </cols>
  <sheetData>
    <row r="1">
      <c r="A1" s="1" t="inlineStr">
        <is>
          <t>Niwot Road Cost Model</t>
        </is>
      </c>
    </row>
    <row r="2">
      <c r="A2" s="2" t="inlineStr">
        <is>
          <t>Published by the Niwot Incorporation Committee — niwot.town/papers/road-information</t>
        </is>
      </c>
    </row>
    <row r="3">
      <c r="A3" s="3" t="inlineStr"/>
    </row>
    <row r="4">
      <c r="A4" s="4" t="inlineStr">
        <is>
          <t>WHAT THIS IS</t>
        </is>
      </c>
    </row>
    <row r="5" ht="30" customHeight="1">
      <c r="A5" s="3" t="inlineStr">
        <is>
          <t>A working model of what it costs to repair Niwot's roads, and what that cost becomes if the work is deferred. It is the derivation behind the $15M (2029) / $22M (2034) / $33M (2040) figures the committee publishes.</t>
        </is>
      </c>
    </row>
    <row r="6">
      <c r="A6" s="3" t="inlineStr"/>
    </row>
    <row r="7" ht="45" customHeight="1">
      <c r="A7" s="3" t="inlineStr">
        <is>
          <t>This is a live model, not a printout. Change any value on the Assumptions sheet — the unit costs, the decay rate, the contingency, the inflation rate — and every figure on Road Inventory, Cost Ladder and Scope Shift recalculates. We would rather you test it than take our word for it.</t>
        </is>
      </c>
    </row>
    <row r="8">
      <c r="A8" s="3" t="inlineStr"/>
    </row>
    <row r="9">
      <c r="A9" s="4" t="inlineStr">
        <is>
          <t>WHERE THE NUMBERS COME FROM</t>
        </is>
      </c>
    </row>
    <row r="10" ht="75" customHeight="1">
      <c r="A10" s="3" t="inlineStr">
        <is>
          <t>Pavement condition (PCI) for the roads nobody currently repairs was measured by IMS Infrastructure Management Services for Boulder County Public Works. Unit costs come from a base bid submitted by Son-Haul, Inc. of Fort Morgan, CO, grossed up for the contractor overheads the bid excludes — see Bid Buildup. The decay rate is a flat 2.0 PCI points per year; see Decay Calibration for how that compares with what Niwot roads have actually done.</t>
        </is>
      </c>
    </row>
    <row r="11">
      <c r="A11" s="3" t="inlineStr"/>
    </row>
    <row r="12">
      <c r="A12" s="4" t="inlineStr">
        <is>
          <t>WHAT WE CHANGED FROM THE SOURCE FILE</t>
        </is>
      </c>
    </row>
    <row r="13" ht="45" customHeight="1">
      <c r="A13" s="3" t="inlineStr">
        <is>
          <t>This workbook is derived from "Road Costs Town - 26 06 17.xlsx", prepared by Paula Hunter for the committee. Four defects were found when the model was audited in August 2026. All four are corrected here, and all four made the original estimate too LOW:</t>
        </is>
      </c>
    </row>
    <row r="14">
      <c r="A14" s="3" t="inlineStr">
        <is>
          <t xml:space="preserve">   1.  Estate Cir carried no cost formula in any year — half a mile priced at $0.</t>
        </is>
      </c>
    </row>
    <row r="15">
      <c r="A15" s="3" t="inlineStr">
        <is>
          <t xml:space="preserve">   2.  Elm St was hardcoded to the seal rate, so it never moved into the more expensive bands.</t>
        </is>
      </c>
    </row>
    <row r="16">
      <c r="A16" s="3" t="inlineStr">
        <is>
          <t xml:space="preserve">   3.  The 2040 escalation compounded 13 years from a 2026 base instead of 14.</t>
        </is>
      </c>
    </row>
    <row r="17" ht="30" customHeight="1">
      <c r="A17" s="3" t="inlineStr">
        <is>
          <t xml:space="preserve">   4.  Four segments decayed 10 points instead of 12 across the 2034-2040 step. No cost effect — all four stayed in the same band — but corrected here for consistency.</t>
        </is>
      </c>
    </row>
    <row r="18">
      <c r="A18" s="3" t="inlineStr"/>
    </row>
    <row r="19" ht="30" customHeight="1">
      <c r="A19" s="3" t="inlineStr">
        <is>
          <t>Corrected, the 2040 figure is $35.19M rather than $33.20M. The committee continues to publish $33M, the lower and more conservative number. See Cost Ladder for both.</t>
        </is>
      </c>
    </row>
    <row r="20">
      <c r="A20" s="3" t="inlineStr"/>
    </row>
    <row r="21">
      <c r="A21" s="4" t="inlineStr">
        <is>
          <t>WHAT WAS REMOVED</t>
        </is>
      </c>
    </row>
    <row r="22" ht="60" customHeight="1">
      <c r="A22" s="3" t="inlineStr">
        <is>
          <t>The source file contains working notes on which private roads may be owned by which homeowners' association, with plat reception numbers, and a mill-levy calculation for the Homestead PID in Gunbarrel. Those are the committee's own reading of other parties' property records, not established fact, and they are not ours to publish. They are omitted. Nothing removed affects any cost figure in this workbook.</t>
        </is>
      </c>
    </row>
    <row r="23">
      <c r="A23" s="3" t="inlineStr"/>
    </row>
    <row r="24">
      <c r="A24" s="4" t="inlineStr">
        <is>
          <t>WHAT THE MODEL ASSUMES THAT WE CANNOT PROVE</t>
        </is>
      </c>
    </row>
    <row r="25" ht="60" customHeight="1">
      <c r="A25" s="3" t="inlineStr">
        <is>
          <t>The 146 segments in the "No one" category have measured PCIs. The five miles of arterials Boulder County still maintains are entered at an assumed PCI of 80, and the private HOA roads at assumed values of 50, 60 or 80 — see the PCI Source column. The model then decays all of them untreated through 2040. Those roads are 3% of the 2024 cost but 17% of the 2040 cost, and about 29% of the increase between 2029 and 2040.</t>
        </is>
      </c>
    </row>
    <row r="26">
      <c r="A26" s="3" t="inlineStr"/>
    </row>
    <row r="27" ht="45" customHeight="1">
      <c r="A27" s="3" t="inlineStr">
        <is>
          <t>That is the softest assumption in the model and we would rather state it than have it found. It cuts against other assumptions that run the other way: decay is modeled as a straight line with no acceleration, at a rate below what Niwot's own roads have actually shown. Roughly, they offset.</t>
        </is>
      </c>
    </row>
    <row r="28">
      <c r="A28" s="3" t="inlineStr"/>
    </row>
    <row r="29">
      <c r="A29" s="2" t="inlineStr">
        <is>
          <t>Prepared 2026-08-31.</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34" customWidth="1" min="1" max="1"/>
    <col width="14" customWidth="1" min="2" max="2"/>
    <col width="14" customWidth="1" min="3" max="3"/>
    <col width="16" customWidth="1" min="4" max="4"/>
    <col width="46" customWidth="1" min="5" max="5"/>
  </cols>
  <sheetData>
    <row r="1">
      <c r="A1" s="5" t="inlineStr">
        <is>
          <t>Assumptions</t>
        </is>
      </c>
    </row>
    <row r="2">
      <c r="A2" s="6" t="inlineStr">
        <is>
          <t>Every figure in this workbook derives from these cells. Change one and the model recalculates.</t>
        </is>
      </c>
    </row>
    <row r="4">
      <c r="A4" s="7" t="inlineStr">
        <is>
          <t>Treatment</t>
        </is>
      </c>
      <c r="B4" s="7" t="inlineStr">
        <is>
          <t>Base bid $/sf</t>
        </is>
      </c>
      <c r="C4" s="7" t="inlineStr">
        <is>
          <t>Gross-up</t>
        </is>
      </c>
      <c r="D4" s="7" t="inlineStr">
        <is>
          <t>Delivered $/sf</t>
        </is>
      </c>
      <c r="E4" s="7" t="inlineStr">
        <is>
          <t>Basis</t>
        </is>
      </c>
    </row>
    <row r="5">
      <c r="A5" s="8" t="inlineStr">
        <is>
          <t>Full-depth reclamation (FDR)</t>
        </is>
      </c>
      <c r="B5" s="9" t="n">
        <v>4.05</v>
      </c>
      <c r="C5" s="9" t="n">
        <v>1.4</v>
      </c>
      <c r="D5" s="10">
        <f>B5*C5</f>
        <v/>
      </c>
      <c r="E5" s="11" t="inlineStr">
        <is>
          <t>Son-Haul base bid + bonding, mobilization, traffic control, erosion control, testing, water, subgrade import</t>
        </is>
      </c>
    </row>
    <row r="6">
      <c r="A6" s="8" t="inlineStr">
        <is>
          <t>Mill &amp; overlay, 2 inch</t>
        </is>
      </c>
      <c r="B6" s="9" t="n">
        <v>2</v>
      </c>
      <c r="C6" s="9" t="n">
        <v>1.22</v>
      </c>
      <c r="D6" s="10">
        <f>B6*C6</f>
        <v/>
      </c>
      <c r="E6" s="11" t="inlineStr">
        <is>
          <t>Son-Haul base bid + bonding, mobilization, traffic control, erosion control</t>
        </is>
      </c>
    </row>
    <row r="7">
      <c r="A7" s="8" t="inlineStr">
        <is>
          <t>Chip / slurry seal</t>
        </is>
      </c>
      <c r="B7" s="9" t="n">
        <v>0.45</v>
      </c>
      <c r="C7" s="9" t="n">
        <v>1.19</v>
      </c>
      <c r="D7" s="10">
        <f>B7*C7</f>
        <v/>
      </c>
      <c r="E7" s="11" t="inlineStr">
        <is>
          <t>Son-Haul base bid + bonding, mobilization, traffic control</t>
        </is>
      </c>
    </row>
    <row r="8">
      <c r="A8" s="8" t="inlineStr">
        <is>
          <t>Crack seal, striping, sweeping</t>
        </is>
      </c>
      <c r="B8" s="9" t="n">
        <v>0.1</v>
      </c>
      <c r="C8" s="9" t="n">
        <v>1.19</v>
      </c>
      <c r="D8" s="10">
        <f>B8*C8</f>
        <v/>
      </c>
      <c r="E8" s="11" t="inlineStr">
        <is>
          <t>Son-Haul base bid + bonding, mobilization, traffic control</t>
        </is>
      </c>
    </row>
    <row r="11">
      <c r="A11" s="12" t="inlineStr">
        <is>
          <t>Model parameters</t>
        </is>
      </c>
    </row>
    <row r="12">
      <c r="A12" s="8" t="inlineStr">
        <is>
          <t>Decay rate (PCI points per year)</t>
        </is>
      </c>
      <c r="B12" s="13" t="n">
        <v>2</v>
      </c>
      <c r="E12" s="11" t="inlineStr">
        <is>
          <t>Flat, straight line, floored at zero. See Decay Calibration.</t>
        </is>
      </c>
    </row>
    <row r="13">
      <c r="A13" s="8" t="inlineStr">
        <is>
          <t>Contingency — roads</t>
        </is>
      </c>
      <c r="B13" s="14" t="n">
        <v>0.1</v>
      </c>
      <c r="E13" s="11" t="inlineStr">
        <is>
          <t>Applied to the treatment total.</t>
        </is>
      </c>
    </row>
    <row r="14">
      <c r="A14" s="8" t="inlineStr">
        <is>
          <t>Contingency — ancillary</t>
        </is>
      </c>
      <c r="B14" s="14" t="n">
        <v>0.1</v>
      </c>
      <c r="E14" s="11" t="inlineStr">
        <is>
          <t>Allowance for bridges, drainage, sidewalks and similar assets, to be scoped in engineering.</t>
        </is>
      </c>
    </row>
    <row r="15">
      <c r="A15" s="8" t="inlineStr">
        <is>
          <t>Construction inflation</t>
        </is>
      </c>
      <c r="B15" s="15" t="n">
        <v>0.03</v>
      </c>
      <c r="E15" s="11" t="inlineStr">
        <is>
          <t>Applied to the base-year total.</t>
        </is>
      </c>
    </row>
    <row r="16">
      <c r="A16" s="8" t="inlineStr">
        <is>
          <t>Base dollar year</t>
        </is>
      </c>
      <c r="B16" s="16" t="n">
        <v>2026</v>
      </c>
      <c r="E16" s="11" t="inlineStr">
        <is>
          <t>Unit costs above are in this year's dollars.</t>
        </is>
      </c>
    </row>
    <row r="17">
      <c r="A17" s="8" t="inlineStr">
        <is>
          <t>Condition survey year</t>
        </is>
      </c>
      <c r="B17" s="16" t="n">
        <v>2024</v>
      </c>
      <c r="E17" s="11" t="inlineStr">
        <is>
          <t>Year the measured PCI values describe.</t>
        </is>
      </c>
    </row>
    <row r="19">
      <c r="A19" s="12" t="inlineStr">
        <is>
          <t>Treatment band lookup</t>
        </is>
      </c>
    </row>
    <row r="20">
      <c r="A20" s="7" t="inlineStr">
        <is>
          <t>PCI at or above</t>
        </is>
      </c>
      <c r="B20" s="7" t="inlineStr">
        <is>
          <t>Band</t>
        </is>
      </c>
      <c r="C20" s="7" t="inlineStr">
        <is>
          <t>Delivered $/sf</t>
        </is>
      </c>
      <c r="D20" s="7" t="inlineStr">
        <is>
          <t>Treatment</t>
        </is>
      </c>
    </row>
    <row r="21">
      <c r="A21" s="17" t="n">
        <v>0</v>
      </c>
      <c r="B21" s="17" t="n">
        <v>1</v>
      </c>
      <c r="C21" s="18">
        <f>D5</f>
        <v/>
      </c>
      <c r="D21" s="8" t="inlineStr">
        <is>
          <t>Full-depth reclamation</t>
        </is>
      </c>
    </row>
    <row r="22">
      <c r="A22" s="17" t="n">
        <v>25</v>
      </c>
      <c r="B22" s="17" t="n">
        <v>2</v>
      </c>
      <c r="C22" s="18">
        <f>D6</f>
        <v/>
      </c>
      <c r="D22" s="8" t="inlineStr">
        <is>
          <t>Mill &amp; overlay</t>
        </is>
      </c>
    </row>
    <row r="23">
      <c r="A23" s="17" t="n">
        <v>50</v>
      </c>
      <c r="B23" s="17" t="n">
        <v>3</v>
      </c>
      <c r="C23" s="18">
        <f>D7</f>
        <v/>
      </c>
      <c r="D23" s="8" t="inlineStr">
        <is>
          <t>Chip / slurry seal</t>
        </is>
      </c>
    </row>
    <row r="24">
      <c r="A24" s="17" t="n">
        <v>70</v>
      </c>
      <c r="B24" s="17" t="n">
        <v>4</v>
      </c>
      <c r="C24" s="18">
        <f>D8</f>
        <v/>
      </c>
      <c r="D24" s="8" t="inlineStr">
        <is>
          <t>Crack seal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83"/>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20" customWidth="1" min="1" max="1"/>
    <col width="7" customWidth="1" min="2" max="2"/>
    <col width="26" customWidth="1" min="3" max="3"/>
    <col width="17" customWidth="1" min="4" max="4"/>
    <col width="11" customWidth="1" min="5" max="5"/>
    <col width="11" customWidth="1" min="6" max="6"/>
    <col width="10" customWidth="1" min="7" max="7"/>
    <col width="13" customWidth="1" min="8" max="8"/>
    <col width="13" customWidth="1" min="9" max="9"/>
    <col width="13" customWidth="1" min="10" max="10"/>
    <col width="9" customWidth="1" min="11" max="11"/>
    <col width="11" customWidth="1" min="12" max="12"/>
    <col width="9" customWidth="1" min="13" max="13"/>
    <col width="9" customWidth="1" min="14" max="14"/>
    <col width="9" customWidth="1" min="15" max="15"/>
    <col width="9" customWidth="1" min="16" max="16"/>
    <col width="9" customWidth="1" min="17" max="17"/>
    <col width="9" customWidth="1" min="18" max="18"/>
    <col width="9" customWidth="1" min="19" max="19"/>
    <col width="13" customWidth="1" min="20" max="20"/>
    <col width="13" customWidth="1" min="21" max="21"/>
    <col width="13" customWidth="1" min="22" max="22"/>
    <col width="13" customWidth="1" min="23" max="23"/>
  </cols>
  <sheetData>
    <row r="1">
      <c r="A1" s="5" t="inlineStr">
        <is>
          <t>Road Inventory</t>
        </is>
      </c>
    </row>
    <row r="2">
      <c r="A2" s="6" t="inlineStr">
        <is>
          <t>One row per road segment. PCI 2029/2034/2040, the treatment band and the cost are all formulas — they follow from PCI 2024 and the Assumptions sheet. Costs are in base-year (2026) dollars before contingency.</t>
        </is>
      </c>
    </row>
    <row r="3">
      <c r="A3" s="19" t="inlineStr">
        <is>
          <t>Street</t>
        </is>
      </c>
      <c r="B3" s="19" t="inlineStr">
        <is>
          <t>Type</t>
        </is>
      </c>
      <c r="C3" s="19" t="inlineStr">
        <is>
          <t>Neighborhood</t>
        </is>
      </c>
      <c r="D3" s="19" t="inlineStr">
        <is>
          <t>Maintained by</t>
        </is>
      </c>
      <c r="E3" s="19" t="inlineStr">
        <is>
          <t>Length (ft)</t>
        </is>
      </c>
      <c r="F3" s="19" t="inlineStr">
        <is>
          <t>Length (mi)</t>
        </is>
      </c>
      <c r="G3" s="19" t="inlineStr">
        <is>
          <t>Width (ft)</t>
        </is>
      </c>
      <c r="H3" s="19" t="inlineStr">
        <is>
          <t>Pavement (sf)</t>
        </is>
      </c>
      <c r="I3" s="19" t="inlineStr">
        <is>
          <t>Cul-de-sac (sf)</t>
        </is>
      </c>
      <c r="J3" s="19" t="inlineStr">
        <is>
          <t>Total area (sf)</t>
        </is>
      </c>
      <c r="K3" s="19" t="inlineStr">
        <is>
          <t>PCI 2024</t>
        </is>
      </c>
      <c r="L3" s="19" t="inlineStr">
        <is>
          <t>PCI source</t>
        </is>
      </c>
      <c r="M3" s="19" t="inlineStr">
        <is>
          <t>PCI 2029</t>
        </is>
      </c>
      <c r="N3" s="19" t="inlineStr">
        <is>
          <t>PCI 2034</t>
        </is>
      </c>
      <c r="O3" s="19" t="inlineStr">
        <is>
          <t>PCI 2040</t>
        </is>
      </c>
      <c r="P3" s="19" t="inlineStr">
        <is>
          <t>Band 2024</t>
        </is>
      </c>
      <c r="Q3" s="19" t="inlineStr">
        <is>
          <t>Band 2029</t>
        </is>
      </c>
      <c r="R3" s="19" t="inlineStr">
        <is>
          <t>Band 2034</t>
        </is>
      </c>
      <c r="S3" s="19" t="inlineStr">
        <is>
          <t>Band 2040</t>
        </is>
      </c>
      <c r="T3" s="19" t="inlineStr">
        <is>
          <t>Cost 2024</t>
        </is>
      </c>
      <c r="U3" s="19" t="inlineStr">
        <is>
          <t>Cost 2029</t>
        </is>
      </c>
      <c r="V3" s="19" t="inlineStr">
        <is>
          <t>Cost 2034</t>
        </is>
      </c>
      <c r="W3" s="19" t="inlineStr">
        <is>
          <t>Cost 2040</t>
        </is>
      </c>
    </row>
    <row r="4">
      <c r="A4" s="8" t="inlineStr">
        <is>
          <t>SKYLAND</t>
        </is>
      </c>
      <c r="B4" s="8" t="inlineStr">
        <is>
          <t>DR</t>
        </is>
      </c>
      <c r="C4" s="8" t="inlineStr">
        <is>
          <t>Autumn Ridge</t>
        </is>
      </c>
      <c r="D4" s="8" t="inlineStr">
        <is>
          <t>No one</t>
        </is>
      </c>
      <c r="E4" s="8" t="n">
        <v>850.1</v>
      </c>
      <c r="F4" s="20" t="n">
        <v>0.1610037878787879</v>
      </c>
      <c r="G4" s="8" t="n">
        <v>35</v>
      </c>
      <c r="H4" s="21" t="n">
        <v>29753.5</v>
      </c>
      <c r="I4" s="21" t="n"/>
      <c r="J4" s="21">
        <f>H4+IF(I4="",0,I4)</f>
        <v/>
      </c>
      <c r="K4" s="22" t="n">
        <v>4.34</v>
      </c>
      <c r="L4" s="8" t="inlineStr">
        <is>
          <t>Measured</t>
        </is>
      </c>
      <c r="M4" s="22">
        <f>MAX(0,$K4-Assumptions!$B$12*5)</f>
        <v/>
      </c>
      <c r="N4" s="22">
        <f>MAX(0,$K4-Assumptions!$B$12*10)</f>
        <v/>
      </c>
      <c r="O4" s="22">
        <f>MAX(0,$K4-Assumptions!$B$12*16)</f>
        <v/>
      </c>
      <c r="P4" s="8">
        <f>VLOOKUP($K4,Assumptions!$A$21:$B$24,2)</f>
        <v/>
      </c>
      <c r="Q4" s="8">
        <f>VLOOKUP($M4,Assumptions!$A$21:$B$24,2)</f>
        <v/>
      </c>
      <c r="R4" s="8">
        <f>VLOOKUP($N4,Assumptions!$A$21:$B$24,2)</f>
        <v/>
      </c>
      <c r="S4" s="8">
        <f>VLOOKUP($O4,Assumptions!$A$21:$B$24,2)</f>
        <v/>
      </c>
      <c r="T4" s="21">
        <f>$J4*VLOOKUP($K4,Assumptions!$A$21:$C$24,3)</f>
        <v/>
      </c>
      <c r="U4" s="21">
        <f>$J4*VLOOKUP($M4,Assumptions!$A$21:$C$24,3)</f>
        <v/>
      </c>
      <c r="V4" s="21">
        <f>$J4*VLOOKUP($N4,Assumptions!$A$21:$C$24,3)</f>
        <v/>
      </c>
      <c r="W4" s="21">
        <f>$J4*VLOOKUP($O4,Assumptions!$A$21:$C$24,3)</f>
        <v/>
      </c>
    </row>
    <row r="5">
      <c r="A5" s="8" t="inlineStr">
        <is>
          <t>SKYLAND</t>
        </is>
      </c>
      <c r="B5" s="8" t="inlineStr">
        <is>
          <t>DR</t>
        </is>
      </c>
      <c r="C5" s="8" t="inlineStr">
        <is>
          <t>Autumn Ridge</t>
        </is>
      </c>
      <c r="D5" s="8" t="inlineStr">
        <is>
          <t>No one</t>
        </is>
      </c>
      <c r="E5" s="8" t="n">
        <v>685.2</v>
      </c>
      <c r="F5" s="20" t="n">
        <v>0.1297727272727273</v>
      </c>
      <c r="G5" s="8" t="n">
        <v>35</v>
      </c>
      <c r="H5" s="21" t="n">
        <v>23982</v>
      </c>
      <c r="I5" s="21" t="n"/>
      <c r="J5" s="21">
        <f>H5+IF(I5="",0,I5)</f>
        <v/>
      </c>
      <c r="K5" s="22" t="n">
        <v>5.42</v>
      </c>
      <c r="L5" s="8" t="inlineStr">
        <is>
          <t>Measured</t>
        </is>
      </c>
      <c r="M5" s="22">
        <f>MAX(0,$K5-Assumptions!$B$12*5)</f>
        <v/>
      </c>
      <c r="N5" s="22">
        <f>MAX(0,$K5-Assumptions!$B$12*10)</f>
        <v/>
      </c>
      <c r="O5" s="22">
        <f>MAX(0,$K5-Assumptions!$B$12*16)</f>
        <v/>
      </c>
      <c r="P5" s="8">
        <f>VLOOKUP($K5,Assumptions!$A$21:$B$24,2)</f>
        <v/>
      </c>
      <c r="Q5" s="8">
        <f>VLOOKUP($M5,Assumptions!$A$21:$B$24,2)</f>
        <v/>
      </c>
      <c r="R5" s="8">
        <f>VLOOKUP($N5,Assumptions!$A$21:$B$24,2)</f>
        <v/>
      </c>
      <c r="S5" s="8">
        <f>VLOOKUP($O5,Assumptions!$A$21:$B$24,2)</f>
        <v/>
      </c>
      <c r="T5" s="21">
        <f>$J5*VLOOKUP($K5,Assumptions!$A$21:$C$24,3)</f>
        <v/>
      </c>
      <c r="U5" s="21">
        <f>$J5*VLOOKUP($M5,Assumptions!$A$21:$C$24,3)</f>
        <v/>
      </c>
      <c r="V5" s="21">
        <f>$J5*VLOOKUP($N5,Assumptions!$A$21:$C$24,3)</f>
        <v/>
      </c>
      <c r="W5" s="21">
        <f>$J5*VLOOKUP($O5,Assumptions!$A$21:$C$24,3)</f>
        <v/>
      </c>
    </row>
    <row r="6">
      <c r="A6" s="8" t="inlineStr">
        <is>
          <t>DRY CREEK</t>
        </is>
      </c>
      <c r="B6" s="8" t="inlineStr">
        <is>
          <t>PKWY</t>
        </is>
      </c>
      <c r="C6" s="8" t="inlineStr">
        <is>
          <t>Boulder Tech Center</t>
        </is>
      </c>
      <c r="D6" s="8" t="inlineStr">
        <is>
          <t>No one</t>
        </is>
      </c>
      <c r="E6" s="8" t="n">
        <v>245.9</v>
      </c>
      <c r="F6" s="20" t="n">
        <v>0.0465719696969697</v>
      </c>
      <c r="G6" s="8" t="n">
        <v>32</v>
      </c>
      <c r="H6" s="21" t="n">
        <v>7868.799999999999</v>
      </c>
      <c r="I6" s="21" t="n"/>
      <c r="J6" s="21">
        <f>H6+IF(I6="",0,I6)</f>
        <v/>
      </c>
      <c r="K6" s="22" t="n">
        <v>15.46</v>
      </c>
      <c r="L6" s="8" t="inlineStr">
        <is>
          <t>Measured</t>
        </is>
      </c>
      <c r="M6" s="22">
        <f>MAX(0,$K6-Assumptions!$B$12*5)</f>
        <v/>
      </c>
      <c r="N6" s="22">
        <f>MAX(0,$K6-Assumptions!$B$12*10)</f>
        <v/>
      </c>
      <c r="O6" s="22">
        <f>MAX(0,$K6-Assumptions!$B$12*16)</f>
        <v/>
      </c>
      <c r="P6" s="8">
        <f>VLOOKUP($K6,Assumptions!$A$21:$B$24,2)</f>
        <v/>
      </c>
      <c r="Q6" s="8">
        <f>VLOOKUP($M6,Assumptions!$A$21:$B$24,2)</f>
        <v/>
      </c>
      <c r="R6" s="8">
        <f>VLOOKUP($N6,Assumptions!$A$21:$B$24,2)</f>
        <v/>
      </c>
      <c r="S6" s="8">
        <f>VLOOKUP($O6,Assumptions!$A$21:$B$24,2)</f>
        <v/>
      </c>
      <c r="T6" s="21">
        <f>$J6*VLOOKUP($K6,Assumptions!$A$21:$C$24,3)</f>
        <v/>
      </c>
      <c r="U6" s="21">
        <f>$J6*VLOOKUP($M6,Assumptions!$A$21:$C$24,3)</f>
        <v/>
      </c>
      <c r="V6" s="21">
        <f>$J6*VLOOKUP($N6,Assumptions!$A$21:$C$24,3)</f>
        <v/>
      </c>
      <c r="W6" s="21">
        <f>$J6*VLOOKUP($O6,Assumptions!$A$21:$C$24,3)</f>
        <v/>
      </c>
    </row>
    <row r="7">
      <c r="A7" s="8" t="inlineStr">
        <is>
          <t>DRY CREEK</t>
        </is>
      </c>
      <c r="B7" s="8" t="inlineStr">
        <is>
          <t>PKWY</t>
        </is>
      </c>
      <c r="C7" s="8" t="inlineStr">
        <is>
          <t>Boulder Tech Center</t>
        </is>
      </c>
      <c r="D7" s="8" t="inlineStr">
        <is>
          <t>No one</t>
        </is>
      </c>
      <c r="E7" s="8" t="n">
        <v>252.8</v>
      </c>
      <c r="F7" s="20" t="n">
        <v>0.04787878787878788</v>
      </c>
      <c r="G7" s="8" t="n">
        <v>32</v>
      </c>
      <c r="H7" s="21" t="n">
        <v>8089.6</v>
      </c>
      <c r="I7" s="21" t="n"/>
      <c r="J7" s="21">
        <f>H7+IF(I7="",0,I7)</f>
        <v/>
      </c>
      <c r="K7" s="22" t="n">
        <v>36.96</v>
      </c>
      <c r="L7" s="8" t="inlineStr">
        <is>
          <t>Measured</t>
        </is>
      </c>
      <c r="M7" s="22">
        <f>MAX(0,$K7-Assumptions!$B$12*5)</f>
        <v/>
      </c>
      <c r="N7" s="22">
        <f>MAX(0,$K7-Assumptions!$B$12*10)</f>
        <v/>
      </c>
      <c r="O7" s="22">
        <f>MAX(0,$K7-Assumptions!$B$12*16)</f>
        <v/>
      </c>
      <c r="P7" s="8">
        <f>VLOOKUP($K7,Assumptions!$A$21:$B$24,2)</f>
        <v/>
      </c>
      <c r="Q7" s="8">
        <f>VLOOKUP($M7,Assumptions!$A$21:$B$24,2)</f>
        <v/>
      </c>
      <c r="R7" s="8">
        <f>VLOOKUP($N7,Assumptions!$A$21:$B$24,2)</f>
        <v/>
      </c>
      <c r="S7" s="8">
        <f>VLOOKUP($O7,Assumptions!$A$21:$B$24,2)</f>
        <v/>
      </c>
      <c r="T7" s="21">
        <f>$J7*VLOOKUP($K7,Assumptions!$A$21:$C$24,3)</f>
        <v/>
      </c>
      <c r="U7" s="21">
        <f>$J7*VLOOKUP($M7,Assumptions!$A$21:$C$24,3)</f>
        <v/>
      </c>
      <c r="V7" s="21">
        <f>$J7*VLOOKUP($N7,Assumptions!$A$21:$C$24,3)</f>
        <v/>
      </c>
      <c r="W7" s="21">
        <f>$J7*VLOOKUP($O7,Assumptions!$A$21:$C$24,3)</f>
        <v/>
      </c>
    </row>
    <row r="8">
      <c r="A8" s="8" t="inlineStr">
        <is>
          <t>DRY CREEK</t>
        </is>
      </c>
      <c r="B8" s="8" t="inlineStr">
        <is>
          <t>PKWY</t>
        </is>
      </c>
      <c r="C8" s="8" t="inlineStr">
        <is>
          <t>Boulder Tech Center</t>
        </is>
      </c>
      <c r="D8" s="8" t="inlineStr">
        <is>
          <t>No one</t>
        </is>
      </c>
      <c r="E8" s="8" t="n">
        <v>1847.1</v>
      </c>
      <c r="F8" s="20" t="n">
        <v>0.3498295454545454</v>
      </c>
      <c r="G8" s="8" t="n">
        <v>32</v>
      </c>
      <c r="H8" s="21" t="n">
        <v>59107.2</v>
      </c>
      <c r="I8" s="21" t="n"/>
      <c r="J8" s="21">
        <f>H8+IF(I8="",0,I8)</f>
        <v/>
      </c>
      <c r="K8" s="22" t="n">
        <v>58.74</v>
      </c>
      <c r="L8" s="8" t="inlineStr">
        <is>
          <t>Measured</t>
        </is>
      </c>
      <c r="M8" s="22">
        <f>MAX(0,$K8-Assumptions!$B$12*5)</f>
        <v/>
      </c>
      <c r="N8" s="22">
        <f>MAX(0,$K8-Assumptions!$B$12*10)</f>
        <v/>
      </c>
      <c r="O8" s="22">
        <f>MAX(0,$K8-Assumptions!$B$12*16)</f>
        <v/>
      </c>
      <c r="P8" s="8">
        <f>VLOOKUP($K8,Assumptions!$A$21:$B$24,2)</f>
        <v/>
      </c>
      <c r="Q8" s="8">
        <f>VLOOKUP($M8,Assumptions!$A$21:$B$24,2)</f>
        <v/>
      </c>
      <c r="R8" s="8">
        <f>VLOOKUP($N8,Assumptions!$A$21:$B$24,2)</f>
        <v/>
      </c>
      <c r="S8" s="8">
        <f>VLOOKUP($O8,Assumptions!$A$21:$B$24,2)</f>
        <v/>
      </c>
      <c r="T8" s="21">
        <f>$J8*VLOOKUP($K8,Assumptions!$A$21:$C$24,3)</f>
        <v/>
      </c>
      <c r="U8" s="21">
        <f>$J8*VLOOKUP($M8,Assumptions!$A$21:$C$24,3)</f>
        <v/>
      </c>
      <c r="V8" s="21">
        <f>$J8*VLOOKUP($N8,Assumptions!$A$21:$C$24,3)</f>
        <v/>
      </c>
      <c r="W8" s="21">
        <f>$J8*VLOOKUP($O8,Assumptions!$A$21:$C$24,3)</f>
        <v/>
      </c>
    </row>
    <row r="9">
      <c r="A9" s="8" t="inlineStr">
        <is>
          <t>EAST DRY CREEK</t>
        </is>
      </c>
      <c r="B9" s="8" t="inlineStr">
        <is>
          <t>PKWY</t>
        </is>
      </c>
      <c r="C9" s="8" t="inlineStr">
        <is>
          <t>Boulder Tech Center</t>
        </is>
      </c>
      <c r="D9" s="8" t="inlineStr">
        <is>
          <t>No one</t>
        </is>
      </c>
      <c r="E9" s="8" t="n">
        <v>1322.4</v>
      </c>
      <c r="F9" s="20" t="n">
        <v>0.2504545454545455</v>
      </c>
      <c r="G9" s="8" t="n">
        <v>34</v>
      </c>
      <c r="H9" s="21" t="n">
        <v>44961.60000000001</v>
      </c>
      <c r="I9" s="21" t="n"/>
      <c r="J9" s="21">
        <f>H9+IF(I9="",0,I9)</f>
        <v/>
      </c>
      <c r="K9" s="22" t="n">
        <v>52.3</v>
      </c>
      <c r="L9" s="8" t="inlineStr">
        <is>
          <t>Measured</t>
        </is>
      </c>
      <c r="M9" s="22">
        <f>MAX(0,$K9-Assumptions!$B$12*5)</f>
        <v/>
      </c>
      <c r="N9" s="22">
        <f>MAX(0,$K9-Assumptions!$B$12*10)</f>
        <v/>
      </c>
      <c r="O9" s="22">
        <f>MAX(0,$K9-Assumptions!$B$12*16)</f>
        <v/>
      </c>
      <c r="P9" s="8">
        <f>VLOOKUP($K9,Assumptions!$A$21:$B$24,2)</f>
        <v/>
      </c>
      <c r="Q9" s="8">
        <f>VLOOKUP($M9,Assumptions!$A$21:$B$24,2)</f>
        <v/>
      </c>
      <c r="R9" s="8">
        <f>VLOOKUP($N9,Assumptions!$A$21:$B$24,2)</f>
        <v/>
      </c>
      <c r="S9" s="8">
        <f>VLOOKUP($O9,Assumptions!$A$21:$B$24,2)</f>
        <v/>
      </c>
      <c r="T9" s="21">
        <f>$J9*VLOOKUP($K9,Assumptions!$A$21:$C$24,3)</f>
        <v/>
      </c>
      <c r="U9" s="21">
        <f>$J9*VLOOKUP($M9,Assumptions!$A$21:$C$24,3)</f>
        <v/>
      </c>
      <c r="V9" s="21">
        <f>$J9*VLOOKUP($N9,Assumptions!$A$21:$C$24,3)</f>
        <v/>
      </c>
      <c r="W9" s="21">
        <f>$J9*VLOOKUP($O9,Assumptions!$A$21:$C$24,3)</f>
        <v/>
      </c>
    </row>
    <row r="10">
      <c r="A10" s="8" t="inlineStr">
        <is>
          <t>MONARCH PARK</t>
        </is>
      </c>
      <c r="B10" s="8" t="inlineStr">
        <is>
          <t>PL</t>
        </is>
      </c>
      <c r="C10" s="8" t="inlineStr">
        <is>
          <t>Boulder Tech Center</t>
        </is>
      </c>
      <c r="D10" s="8" t="inlineStr">
        <is>
          <t>No one</t>
        </is>
      </c>
      <c r="E10" s="8" t="n">
        <v>1022.7</v>
      </c>
      <c r="F10" s="20" t="n">
        <v>0.1936931818181818</v>
      </c>
      <c r="G10" s="8" t="n">
        <v>28</v>
      </c>
      <c r="H10" s="21" t="n">
        <v>28635.6</v>
      </c>
      <c r="I10" s="21" t="n"/>
      <c r="J10" s="21">
        <f>H10+IF(I10="",0,I10)</f>
        <v/>
      </c>
      <c r="K10" s="22" t="n">
        <v>12.62</v>
      </c>
      <c r="L10" s="8" t="inlineStr">
        <is>
          <t>Measured</t>
        </is>
      </c>
      <c r="M10" s="22">
        <f>MAX(0,$K10-Assumptions!$B$12*5)</f>
        <v/>
      </c>
      <c r="N10" s="22">
        <f>MAX(0,$K10-Assumptions!$B$12*10)</f>
        <v/>
      </c>
      <c r="O10" s="22">
        <f>MAX(0,$K10-Assumptions!$B$12*16)</f>
        <v/>
      </c>
      <c r="P10" s="8">
        <f>VLOOKUP($K10,Assumptions!$A$21:$B$24,2)</f>
        <v/>
      </c>
      <c r="Q10" s="8">
        <f>VLOOKUP($M10,Assumptions!$A$21:$B$24,2)</f>
        <v/>
      </c>
      <c r="R10" s="8">
        <f>VLOOKUP($N10,Assumptions!$A$21:$B$24,2)</f>
        <v/>
      </c>
      <c r="S10" s="8">
        <f>VLOOKUP($O10,Assumptions!$A$21:$B$24,2)</f>
        <v/>
      </c>
      <c r="T10" s="21">
        <f>$J10*VLOOKUP($K10,Assumptions!$A$21:$C$24,3)</f>
        <v/>
      </c>
      <c r="U10" s="21">
        <f>$J10*VLOOKUP($M10,Assumptions!$A$21:$C$24,3)</f>
        <v/>
      </c>
      <c r="V10" s="21">
        <f>$J10*VLOOKUP($N10,Assumptions!$A$21:$C$24,3)</f>
        <v/>
      </c>
      <c r="W10" s="21">
        <f>$J10*VLOOKUP($O10,Assumptions!$A$21:$C$24,3)</f>
        <v/>
      </c>
    </row>
    <row r="11">
      <c r="A11" s="8" t="inlineStr">
        <is>
          <t>MONARCH PARK</t>
        </is>
      </c>
      <c r="B11" s="8" t="inlineStr">
        <is>
          <t>PL</t>
        </is>
      </c>
      <c r="C11" s="8" t="inlineStr">
        <is>
          <t>Boulder Tech Center</t>
        </is>
      </c>
      <c r="D11" s="8" t="inlineStr">
        <is>
          <t>No one</t>
        </is>
      </c>
      <c r="E11" s="8" t="n">
        <v>581</v>
      </c>
      <c r="F11" s="20" t="n">
        <v>0.1100378787878788</v>
      </c>
      <c r="G11" s="8" t="n">
        <v>28</v>
      </c>
      <c r="H11" s="21" t="n">
        <v>16268</v>
      </c>
      <c r="I11" s="21" t="n"/>
      <c r="J11" s="21">
        <f>H11+IF(I11="",0,I11)</f>
        <v/>
      </c>
      <c r="K11" s="22" t="n">
        <v>29.2</v>
      </c>
      <c r="L11" s="8" t="inlineStr">
        <is>
          <t>Measured</t>
        </is>
      </c>
      <c r="M11" s="22">
        <f>MAX(0,$K11-Assumptions!$B$12*5)</f>
        <v/>
      </c>
      <c r="N11" s="22">
        <f>MAX(0,$K11-Assumptions!$B$12*10)</f>
        <v/>
      </c>
      <c r="O11" s="22">
        <f>MAX(0,$K11-Assumptions!$B$12*16)</f>
        <v/>
      </c>
      <c r="P11" s="8">
        <f>VLOOKUP($K11,Assumptions!$A$21:$B$24,2)</f>
        <v/>
      </c>
      <c r="Q11" s="8">
        <f>VLOOKUP($M11,Assumptions!$A$21:$B$24,2)</f>
        <v/>
      </c>
      <c r="R11" s="8">
        <f>VLOOKUP($N11,Assumptions!$A$21:$B$24,2)</f>
        <v/>
      </c>
      <c r="S11" s="8">
        <f>VLOOKUP($O11,Assumptions!$A$21:$B$24,2)</f>
        <v/>
      </c>
      <c r="T11" s="21">
        <f>$J11*VLOOKUP($K11,Assumptions!$A$21:$C$24,3)</f>
        <v/>
      </c>
      <c r="U11" s="21">
        <f>$J11*VLOOKUP($M11,Assumptions!$A$21:$C$24,3)</f>
        <v/>
      </c>
      <c r="V11" s="21">
        <f>$J11*VLOOKUP($N11,Assumptions!$A$21:$C$24,3)</f>
        <v/>
      </c>
      <c r="W11" s="21">
        <f>$J11*VLOOKUP($O11,Assumptions!$A$21:$C$24,3)</f>
        <v/>
      </c>
    </row>
    <row r="12">
      <c r="A12" s="8" t="inlineStr">
        <is>
          <t xml:space="preserve">WEST DRY CREEK </t>
        </is>
      </c>
      <c r="B12" s="8" t="inlineStr">
        <is>
          <t>PKWY</t>
        </is>
      </c>
      <c r="C12" s="8" t="inlineStr">
        <is>
          <t>Boulder Tech Center</t>
        </is>
      </c>
      <c r="D12" s="8" t="inlineStr">
        <is>
          <t>No one</t>
        </is>
      </c>
      <c r="E12" s="8" t="n">
        <v>2209.4</v>
      </c>
      <c r="F12" s="20" t="n">
        <v>0.4184469696969697</v>
      </c>
      <c r="G12" s="8" t="n">
        <v>33</v>
      </c>
      <c r="H12" s="21" t="n">
        <v>72910.2</v>
      </c>
      <c r="I12" s="21" t="n"/>
      <c r="J12" s="21">
        <f>H12+IF(I12="",0,I12)</f>
        <v/>
      </c>
      <c r="K12" s="22" t="n">
        <v>75.59999999999999</v>
      </c>
      <c r="L12" s="8" t="inlineStr">
        <is>
          <t>Measured</t>
        </is>
      </c>
      <c r="M12" s="22">
        <f>MAX(0,$K12-Assumptions!$B$12*5)</f>
        <v/>
      </c>
      <c r="N12" s="22">
        <f>MAX(0,$K12-Assumptions!$B$12*10)</f>
        <v/>
      </c>
      <c r="O12" s="22">
        <f>MAX(0,$K12-Assumptions!$B$12*16)</f>
        <v/>
      </c>
      <c r="P12" s="8">
        <f>VLOOKUP($K12,Assumptions!$A$21:$B$24,2)</f>
        <v/>
      </c>
      <c r="Q12" s="8">
        <f>VLOOKUP($M12,Assumptions!$A$21:$B$24,2)</f>
        <v/>
      </c>
      <c r="R12" s="8">
        <f>VLOOKUP($N12,Assumptions!$A$21:$B$24,2)</f>
        <v/>
      </c>
      <c r="S12" s="8">
        <f>VLOOKUP($O12,Assumptions!$A$21:$B$24,2)</f>
        <v/>
      </c>
      <c r="T12" s="21">
        <f>$J12*VLOOKUP($K12,Assumptions!$A$21:$C$24,3)</f>
        <v/>
      </c>
      <c r="U12" s="21">
        <f>$J12*VLOOKUP($M12,Assumptions!$A$21:$C$24,3)</f>
        <v/>
      </c>
      <c r="V12" s="21">
        <f>$J12*VLOOKUP($N12,Assumptions!$A$21:$C$24,3)</f>
        <v/>
      </c>
      <c r="W12" s="21">
        <f>$J12*VLOOKUP($O12,Assumptions!$A$21:$C$24,3)</f>
        <v/>
      </c>
    </row>
    <row r="13">
      <c r="A13" s="8" t="inlineStr">
        <is>
          <t>BURGUNDY</t>
        </is>
      </c>
      <c r="B13" s="8" t="inlineStr">
        <is>
          <t>DR</t>
        </is>
      </c>
      <c r="C13" s="8" t="inlineStr">
        <is>
          <t xml:space="preserve">Burgundy Park </t>
        </is>
      </c>
      <c r="D13" s="8" t="inlineStr">
        <is>
          <t>Burgundy Park PID</t>
        </is>
      </c>
      <c r="E13" s="8" t="n">
        <v>235.7</v>
      </c>
      <c r="F13" s="20" t="n">
        <v>0.04464015151515151</v>
      </c>
      <c r="G13" s="8" t="n">
        <v>33</v>
      </c>
      <c r="H13" s="21" t="n">
        <v>7778.099999999999</v>
      </c>
      <c r="I13" s="21" t="n"/>
      <c r="J13" s="21">
        <f>H13+IF(I13="",0,I13)</f>
        <v/>
      </c>
      <c r="K13" s="22" t="n">
        <v>89.43000000000001</v>
      </c>
      <c r="L13" s="8" t="inlineStr">
        <is>
          <t>Measured</t>
        </is>
      </c>
      <c r="M13" s="22">
        <f>MAX(0,$K13-Assumptions!$B$12*5)</f>
        <v/>
      </c>
      <c r="N13" s="22">
        <f>MAX(0,$K13-Assumptions!$B$12*10)</f>
        <v/>
      </c>
      <c r="O13" s="22">
        <f>MAX(0,$K13-Assumptions!$B$12*16)</f>
        <v/>
      </c>
      <c r="P13" s="8">
        <f>VLOOKUP($K13,Assumptions!$A$21:$B$24,2)</f>
        <v/>
      </c>
      <c r="Q13" s="8">
        <f>VLOOKUP($M13,Assumptions!$A$21:$B$24,2)</f>
        <v/>
      </c>
      <c r="R13" s="8">
        <f>VLOOKUP($N13,Assumptions!$A$21:$B$24,2)</f>
        <v/>
      </c>
      <c r="S13" s="8">
        <f>VLOOKUP($O13,Assumptions!$A$21:$B$24,2)</f>
        <v/>
      </c>
      <c r="T13" s="21">
        <f>$J13*VLOOKUP($K13,Assumptions!$A$21:$C$24,3)</f>
        <v/>
      </c>
      <c r="U13" s="21">
        <f>$J13*VLOOKUP($M13,Assumptions!$A$21:$C$24,3)</f>
        <v/>
      </c>
      <c r="V13" s="21">
        <f>$J13*VLOOKUP($N13,Assumptions!$A$21:$C$24,3)</f>
        <v/>
      </c>
      <c r="W13" s="21">
        <f>$J13*VLOOKUP($O13,Assumptions!$A$21:$C$24,3)</f>
        <v/>
      </c>
    </row>
    <row r="14">
      <c r="A14" s="8" t="inlineStr">
        <is>
          <t>BURGUNDY</t>
        </is>
      </c>
      <c r="B14" s="8" t="inlineStr">
        <is>
          <t>DR</t>
        </is>
      </c>
      <c r="C14" s="8" t="inlineStr">
        <is>
          <t xml:space="preserve">Burgundy Park </t>
        </is>
      </c>
      <c r="D14" s="8" t="inlineStr">
        <is>
          <t>Burgundy Park PID</t>
        </is>
      </c>
      <c r="E14" s="8" t="n">
        <v>234</v>
      </c>
      <c r="F14" s="20" t="n">
        <v>0.04431818181818182</v>
      </c>
      <c r="G14" s="8" t="n">
        <v>33</v>
      </c>
      <c r="H14" s="21" t="n">
        <v>7722</v>
      </c>
      <c r="I14" s="21" t="n"/>
      <c r="J14" s="21">
        <f>H14+IF(I14="",0,I14)</f>
        <v/>
      </c>
      <c r="K14" s="22" t="n">
        <v>92.68000000000001</v>
      </c>
      <c r="L14" s="8" t="inlineStr">
        <is>
          <t>Measured</t>
        </is>
      </c>
      <c r="M14" s="22">
        <f>MAX(0,$K14-Assumptions!$B$12*5)</f>
        <v/>
      </c>
      <c r="N14" s="22">
        <f>MAX(0,$K14-Assumptions!$B$12*10)</f>
        <v/>
      </c>
      <c r="O14" s="22">
        <f>MAX(0,$K14-Assumptions!$B$12*16)</f>
        <v/>
      </c>
      <c r="P14" s="8">
        <f>VLOOKUP($K14,Assumptions!$A$21:$B$24,2)</f>
        <v/>
      </c>
      <c r="Q14" s="8">
        <f>VLOOKUP($M14,Assumptions!$A$21:$B$24,2)</f>
        <v/>
      </c>
      <c r="R14" s="8">
        <f>VLOOKUP($N14,Assumptions!$A$21:$B$24,2)</f>
        <v/>
      </c>
      <c r="S14" s="8">
        <f>VLOOKUP($O14,Assumptions!$A$21:$B$24,2)</f>
        <v/>
      </c>
      <c r="T14" s="21">
        <f>$J14*VLOOKUP($K14,Assumptions!$A$21:$C$24,3)</f>
        <v/>
      </c>
      <c r="U14" s="21">
        <f>$J14*VLOOKUP($M14,Assumptions!$A$21:$C$24,3)</f>
        <v/>
      </c>
      <c r="V14" s="21">
        <f>$J14*VLOOKUP($N14,Assumptions!$A$21:$C$24,3)</f>
        <v/>
      </c>
      <c r="W14" s="21">
        <f>$J14*VLOOKUP($O14,Assumptions!$A$21:$C$24,3)</f>
        <v/>
      </c>
    </row>
    <row r="15">
      <c r="A15" s="8" t="inlineStr">
        <is>
          <t>BURGUNDY</t>
        </is>
      </c>
      <c r="B15" s="8" t="inlineStr">
        <is>
          <t>DR</t>
        </is>
      </c>
      <c r="C15" s="8" t="inlineStr">
        <is>
          <t xml:space="preserve">Burgundy Park </t>
        </is>
      </c>
      <c r="D15" s="8" t="inlineStr">
        <is>
          <t>Burgundy Park PID</t>
        </is>
      </c>
      <c r="E15" s="8" t="n">
        <v>1219.2</v>
      </c>
      <c r="F15" s="20" t="n">
        <v>0.2309090909090909</v>
      </c>
      <c r="G15" s="8" t="n">
        <v>33</v>
      </c>
      <c r="H15" s="21" t="n">
        <v>40233.6</v>
      </c>
      <c r="I15" s="21" t="n"/>
      <c r="J15" s="21">
        <f>H15+IF(I15="",0,I15)</f>
        <v/>
      </c>
      <c r="K15" s="22" t="n">
        <v>94.15000000000001</v>
      </c>
      <c r="L15" s="8" t="inlineStr">
        <is>
          <t>Measured</t>
        </is>
      </c>
      <c r="M15" s="22">
        <f>MAX(0,$K15-Assumptions!$B$12*5)</f>
        <v/>
      </c>
      <c r="N15" s="22">
        <f>MAX(0,$K15-Assumptions!$B$12*10)</f>
        <v/>
      </c>
      <c r="O15" s="22">
        <f>MAX(0,$K15-Assumptions!$B$12*16)</f>
        <v/>
      </c>
      <c r="P15" s="8">
        <f>VLOOKUP($K15,Assumptions!$A$21:$B$24,2)</f>
        <v/>
      </c>
      <c r="Q15" s="8">
        <f>VLOOKUP($M15,Assumptions!$A$21:$B$24,2)</f>
        <v/>
      </c>
      <c r="R15" s="8">
        <f>VLOOKUP($N15,Assumptions!$A$21:$B$24,2)</f>
        <v/>
      </c>
      <c r="S15" s="8">
        <f>VLOOKUP($O15,Assumptions!$A$21:$B$24,2)</f>
        <v/>
      </c>
      <c r="T15" s="21">
        <f>$J15*VLOOKUP($K15,Assumptions!$A$21:$C$24,3)</f>
        <v/>
      </c>
      <c r="U15" s="21">
        <f>$J15*VLOOKUP($M15,Assumptions!$A$21:$C$24,3)</f>
        <v/>
      </c>
      <c r="V15" s="21">
        <f>$J15*VLOOKUP($N15,Assumptions!$A$21:$C$24,3)</f>
        <v/>
      </c>
      <c r="W15" s="21">
        <f>$J15*VLOOKUP($O15,Assumptions!$A$21:$C$24,3)</f>
        <v/>
      </c>
    </row>
    <row r="16">
      <c r="A16" s="8" t="inlineStr">
        <is>
          <t>EAST SUSSEX</t>
        </is>
      </c>
      <c r="B16" s="8" t="inlineStr">
        <is>
          <t>CT</t>
        </is>
      </c>
      <c r="C16" s="8" t="inlineStr">
        <is>
          <t xml:space="preserve">Burgundy Park </t>
        </is>
      </c>
      <c r="D16" s="8" t="inlineStr">
        <is>
          <t>Burgundy Park PID</t>
        </is>
      </c>
      <c r="E16" s="8" t="n">
        <v>300.6</v>
      </c>
      <c r="F16" s="20" t="n">
        <v>0.05693181818181819</v>
      </c>
      <c r="G16" s="8" t="n">
        <v>33</v>
      </c>
      <c r="H16" s="21" t="n">
        <v>9919.800000000001</v>
      </c>
      <c r="I16" s="21" t="n">
        <v>2500</v>
      </c>
      <c r="J16" s="21">
        <f>H16+IF(I16="",0,I16)</f>
        <v/>
      </c>
      <c r="K16" s="22" t="n">
        <v>95.23999999999999</v>
      </c>
      <c r="L16" s="8" t="inlineStr">
        <is>
          <t>Measured</t>
        </is>
      </c>
      <c r="M16" s="22">
        <f>MAX(0,$K16-Assumptions!$B$12*5)</f>
        <v/>
      </c>
      <c r="N16" s="22">
        <f>MAX(0,$K16-Assumptions!$B$12*10)</f>
        <v/>
      </c>
      <c r="O16" s="22">
        <f>MAX(0,$K16-Assumptions!$B$12*16)</f>
        <v/>
      </c>
      <c r="P16" s="8">
        <f>VLOOKUP($K16,Assumptions!$A$21:$B$24,2)</f>
        <v/>
      </c>
      <c r="Q16" s="8">
        <f>VLOOKUP($M16,Assumptions!$A$21:$B$24,2)</f>
        <v/>
      </c>
      <c r="R16" s="8">
        <f>VLOOKUP($N16,Assumptions!$A$21:$B$24,2)</f>
        <v/>
      </c>
      <c r="S16" s="8">
        <f>VLOOKUP($O16,Assumptions!$A$21:$B$24,2)</f>
        <v/>
      </c>
      <c r="T16" s="21">
        <f>$J16*VLOOKUP($K16,Assumptions!$A$21:$C$24,3)</f>
        <v/>
      </c>
      <c r="U16" s="21">
        <f>$J16*VLOOKUP($M16,Assumptions!$A$21:$C$24,3)</f>
        <v/>
      </c>
      <c r="V16" s="21">
        <f>$J16*VLOOKUP($N16,Assumptions!$A$21:$C$24,3)</f>
        <v/>
      </c>
      <c r="W16" s="21">
        <f>$J16*VLOOKUP($O16,Assumptions!$A$21:$C$24,3)</f>
        <v/>
      </c>
    </row>
    <row r="17">
      <c r="A17" s="8" t="inlineStr">
        <is>
          <t>FAIRFAX</t>
        </is>
      </c>
      <c r="B17" s="8" t="inlineStr">
        <is>
          <t>CT</t>
        </is>
      </c>
      <c r="C17" s="8" t="inlineStr">
        <is>
          <t xml:space="preserve">Burgundy Park </t>
        </is>
      </c>
      <c r="D17" s="8" t="inlineStr">
        <is>
          <t>Burgundy Park PID</t>
        </is>
      </c>
      <c r="E17" s="8" t="n">
        <v>196.6</v>
      </c>
      <c r="F17" s="20" t="n">
        <v>0.03723484848484848</v>
      </c>
      <c r="G17" s="8" t="n">
        <v>34</v>
      </c>
      <c r="H17" s="21" t="n">
        <v>6684.4</v>
      </c>
      <c r="I17" s="21" t="n">
        <v>2500</v>
      </c>
      <c r="J17" s="21">
        <f>H17+IF(I17="",0,I17)</f>
        <v/>
      </c>
      <c r="K17" s="22" t="n">
        <v>94.59</v>
      </c>
      <c r="L17" s="8" t="inlineStr">
        <is>
          <t>Measured</t>
        </is>
      </c>
      <c r="M17" s="22">
        <f>MAX(0,$K17-Assumptions!$B$12*5)</f>
        <v/>
      </c>
      <c r="N17" s="22">
        <f>MAX(0,$K17-Assumptions!$B$12*10)</f>
        <v/>
      </c>
      <c r="O17" s="22">
        <f>MAX(0,$K17-Assumptions!$B$12*16)</f>
        <v/>
      </c>
      <c r="P17" s="8">
        <f>VLOOKUP($K17,Assumptions!$A$21:$B$24,2)</f>
        <v/>
      </c>
      <c r="Q17" s="8">
        <f>VLOOKUP($M17,Assumptions!$A$21:$B$24,2)</f>
        <v/>
      </c>
      <c r="R17" s="8">
        <f>VLOOKUP($N17,Assumptions!$A$21:$B$24,2)</f>
        <v/>
      </c>
      <c r="S17" s="8">
        <f>VLOOKUP($O17,Assumptions!$A$21:$B$24,2)</f>
        <v/>
      </c>
      <c r="T17" s="21">
        <f>$J17*VLOOKUP($K17,Assumptions!$A$21:$C$24,3)</f>
        <v/>
      </c>
      <c r="U17" s="21">
        <f>$J17*VLOOKUP($M17,Assumptions!$A$21:$C$24,3)</f>
        <v/>
      </c>
      <c r="V17" s="21">
        <f>$J17*VLOOKUP($N17,Assumptions!$A$21:$C$24,3)</f>
        <v/>
      </c>
      <c r="W17" s="21">
        <f>$J17*VLOOKUP($O17,Assumptions!$A$21:$C$24,3)</f>
        <v/>
      </c>
    </row>
    <row r="18">
      <c r="A18" s="8" t="inlineStr">
        <is>
          <t>WELLSHIRE</t>
        </is>
      </c>
      <c r="B18" s="8" t="inlineStr">
        <is>
          <t>CT</t>
        </is>
      </c>
      <c r="C18" s="8" t="inlineStr">
        <is>
          <t xml:space="preserve">Burgundy Park </t>
        </is>
      </c>
      <c r="D18" s="8" t="inlineStr">
        <is>
          <t>Burgundy Park PID</t>
        </is>
      </c>
      <c r="E18" s="8" t="n">
        <v>298.1</v>
      </c>
      <c r="F18" s="20" t="n">
        <v>0.05645833333333334</v>
      </c>
      <c r="G18" s="8" t="n">
        <v>34</v>
      </c>
      <c r="H18" s="21" t="n">
        <v>10135.4</v>
      </c>
      <c r="I18" s="21" t="n">
        <v>2500</v>
      </c>
      <c r="J18" s="21">
        <f>H18+IF(I18="",0,I18)</f>
        <v/>
      </c>
      <c r="K18" s="22" t="n">
        <v>77.25</v>
      </c>
      <c r="L18" s="8" t="inlineStr">
        <is>
          <t>Measured</t>
        </is>
      </c>
      <c r="M18" s="22">
        <f>MAX(0,$K18-Assumptions!$B$12*5)</f>
        <v/>
      </c>
      <c r="N18" s="22">
        <f>MAX(0,$K18-Assumptions!$B$12*10)</f>
        <v/>
      </c>
      <c r="O18" s="22">
        <f>MAX(0,$K18-Assumptions!$B$12*16)</f>
        <v/>
      </c>
      <c r="P18" s="8">
        <f>VLOOKUP($K18,Assumptions!$A$21:$B$24,2)</f>
        <v/>
      </c>
      <c r="Q18" s="8">
        <f>VLOOKUP($M18,Assumptions!$A$21:$B$24,2)</f>
        <v/>
      </c>
      <c r="R18" s="8">
        <f>VLOOKUP($N18,Assumptions!$A$21:$B$24,2)</f>
        <v/>
      </c>
      <c r="S18" s="8">
        <f>VLOOKUP($O18,Assumptions!$A$21:$B$24,2)</f>
        <v/>
      </c>
      <c r="T18" s="21">
        <f>$J18*VLOOKUP($K18,Assumptions!$A$21:$C$24,3)</f>
        <v/>
      </c>
      <c r="U18" s="21">
        <f>$J18*VLOOKUP($M18,Assumptions!$A$21:$C$24,3)</f>
        <v/>
      </c>
      <c r="V18" s="21">
        <f>$J18*VLOOKUP($N18,Assumptions!$A$21:$C$24,3)</f>
        <v/>
      </c>
      <c r="W18" s="21">
        <f>$J18*VLOOKUP($O18,Assumptions!$A$21:$C$24,3)</f>
        <v/>
      </c>
    </row>
    <row r="19">
      <c r="A19" s="8" t="inlineStr">
        <is>
          <t>WEST SUSSEX</t>
        </is>
      </c>
      <c r="B19" s="8" t="inlineStr">
        <is>
          <t>CT</t>
        </is>
      </c>
      <c r="C19" s="8" t="inlineStr">
        <is>
          <t xml:space="preserve">Burgundy Park </t>
        </is>
      </c>
      <c r="D19" s="8" t="inlineStr">
        <is>
          <t>Burgundy Park PID</t>
        </is>
      </c>
      <c r="E19" s="8" t="n">
        <v>179.5</v>
      </c>
      <c r="F19" s="20" t="n">
        <v>0.03399621212121212</v>
      </c>
      <c r="G19" s="8" t="n">
        <v>34</v>
      </c>
      <c r="H19" s="21" t="n">
        <v>6103</v>
      </c>
      <c r="I19" s="21" t="n">
        <v>2500</v>
      </c>
      <c r="J19" s="21">
        <f>H19+IF(I19="",0,I19)</f>
        <v/>
      </c>
      <c r="K19" s="22" t="n">
        <v>87.36</v>
      </c>
      <c r="L19" s="8" t="inlineStr">
        <is>
          <t>Measured</t>
        </is>
      </c>
      <c r="M19" s="22">
        <f>MAX(0,$K19-Assumptions!$B$12*5)</f>
        <v/>
      </c>
      <c r="N19" s="22">
        <f>MAX(0,$K19-Assumptions!$B$12*10)</f>
        <v/>
      </c>
      <c r="O19" s="22">
        <f>MAX(0,$K19-Assumptions!$B$12*16)</f>
        <v/>
      </c>
      <c r="P19" s="8">
        <f>VLOOKUP($K19,Assumptions!$A$21:$B$24,2)</f>
        <v/>
      </c>
      <c r="Q19" s="8">
        <f>VLOOKUP($M19,Assumptions!$A$21:$B$24,2)</f>
        <v/>
      </c>
      <c r="R19" s="8">
        <f>VLOOKUP($N19,Assumptions!$A$21:$B$24,2)</f>
        <v/>
      </c>
      <c r="S19" s="8">
        <f>VLOOKUP($O19,Assumptions!$A$21:$B$24,2)</f>
        <v/>
      </c>
      <c r="T19" s="21">
        <f>$J19*VLOOKUP($K19,Assumptions!$A$21:$C$24,3)</f>
        <v/>
      </c>
      <c r="U19" s="21">
        <f>$J19*VLOOKUP($M19,Assumptions!$A$21:$C$24,3)</f>
        <v/>
      </c>
      <c r="V19" s="21">
        <f>$J19*VLOOKUP($N19,Assumptions!$A$21:$C$24,3)</f>
        <v/>
      </c>
      <c r="W19" s="21">
        <f>$J19*VLOOKUP($O19,Assumptions!$A$21:$C$24,3)</f>
        <v/>
      </c>
    </row>
    <row r="20">
      <c r="A20" s="8" t="inlineStr">
        <is>
          <t>CENTREBRIDGE</t>
        </is>
      </c>
      <c r="B20" s="8" t="inlineStr">
        <is>
          <t>DR</t>
        </is>
      </c>
      <c r="C20" s="8" t="inlineStr">
        <is>
          <t>Centerbridge</t>
        </is>
      </c>
      <c r="D20" s="8" t="inlineStr">
        <is>
          <t>No one</t>
        </is>
      </c>
      <c r="E20" s="8" t="n">
        <v>2398.3</v>
      </c>
      <c r="F20" s="20" t="n">
        <v>0.4542234848484849</v>
      </c>
      <c r="G20" s="8" t="n">
        <v>32</v>
      </c>
      <c r="H20" s="21" t="n">
        <v>76745.60000000001</v>
      </c>
      <c r="I20" s="21" t="n"/>
      <c r="J20" s="21">
        <f>H20+IF(I20="",0,I20)</f>
        <v/>
      </c>
      <c r="K20" s="22" t="n">
        <v>4.52</v>
      </c>
      <c r="L20" s="8" t="inlineStr">
        <is>
          <t>Measured</t>
        </is>
      </c>
      <c r="M20" s="22">
        <f>MAX(0,$K20-Assumptions!$B$12*5)</f>
        <v/>
      </c>
      <c r="N20" s="22">
        <f>MAX(0,$K20-Assumptions!$B$12*10)</f>
        <v/>
      </c>
      <c r="O20" s="22">
        <f>MAX(0,$K20-Assumptions!$B$12*16)</f>
        <v/>
      </c>
      <c r="P20" s="8">
        <f>VLOOKUP($K20,Assumptions!$A$21:$B$24,2)</f>
        <v/>
      </c>
      <c r="Q20" s="8">
        <f>VLOOKUP($M20,Assumptions!$A$21:$B$24,2)</f>
        <v/>
      </c>
      <c r="R20" s="8">
        <f>VLOOKUP($N20,Assumptions!$A$21:$B$24,2)</f>
        <v/>
      </c>
      <c r="S20" s="8">
        <f>VLOOKUP($O20,Assumptions!$A$21:$B$24,2)</f>
        <v/>
      </c>
      <c r="T20" s="21">
        <f>$J20*VLOOKUP($K20,Assumptions!$A$21:$C$24,3)</f>
        <v/>
      </c>
      <c r="U20" s="21">
        <f>$J20*VLOOKUP($M20,Assumptions!$A$21:$C$24,3)</f>
        <v/>
      </c>
      <c r="V20" s="21">
        <f>$J20*VLOOKUP($N20,Assumptions!$A$21:$C$24,3)</f>
        <v/>
      </c>
      <c r="W20" s="21">
        <f>$J20*VLOOKUP($O20,Assumptions!$A$21:$C$24,3)</f>
        <v/>
      </c>
    </row>
    <row r="21">
      <c r="A21" s="8" t="inlineStr">
        <is>
          <t>CENTREBRIDGE</t>
        </is>
      </c>
      <c r="B21" s="8" t="inlineStr">
        <is>
          <t>DR</t>
        </is>
      </c>
      <c r="C21" s="8" t="inlineStr">
        <is>
          <t>Centerbridge</t>
        </is>
      </c>
      <c r="D21" s="8" t="inlineStr">
        <is>
          <t>No one</t>
        </is>
      </c>
      <c r="E21" s="8" t="n">
        <v>223.5</v>
      </c>
      <c r="F21" s="20" t="n">
        <v>0.04232954545454545</v>
      </c>
      <c r="G21" s="8" t="n">
        <v>32</v>
      </c>
      <c r="H21" s="21" t="n">
        <v>7152</v>
      </c>
      <c r="I21" s="21" t="n"/>
      <c r="J21" s="21">
        <f>H21+IF(I21="",0,I21)</f>
        <v/>
      </c>
      <c r="K21" s="22" t="n">
        <v>7.28</v>
      </c>
      <c r="L21" s="8" t="inlineStr">
        <is>
          <t>Measured</t>
        </is>
      </c>
      <c r="M21" s="22">
        <f>MAX(0,$K21-Assumptions!$B$12*5)</f>
        <v/>
      </c>
      <c r="N21" s="22">
        <f>MAX(0,$K21-Assumptions!$B$12*10)</f>
        <v/>
      </c>
      <c r="O21" s="22">
        <f>MAX(0,$K21-Assumptions!$B$12*16)</f>
        <v/>
      </c>
      <c r="P21" s="8">
        <f>VLOOKUP($K21,Assumptions!$A$21:$B$24,2)</f>
        <v/>
      </c>
      <c r="Q21" s="8">
        <f>VLOOKUP($M21,Assumptions!$A$21:$B$24,2)</f>
        <v/>
      </c>
      <c r="R21" s="8">
        <f>VLOOKUP($N21,Assumptions!$A$21:$B$24,2)</f>
        <v/>
      </c>
      <c r="S21" s="8">
        <f>VLOOKUP($O21,Assumptions!$A$21:$B$24,2)</f>
        <v/>
      </c>
      <c r="T21" s="21">
        <f>$J21*VLOOKUP($K21,Assumptions!$A$21:$C$24,3)</f>
        <v/>
      </c>
      <c r="U21" s="21">
        <f>$J21*VLOOKUP($M21,Assumptions!$A$21:$C$24,3)</f>
        <v/>
      </c>
      <c r="V21" s="21">
        <f>$J21*VLOOKUP($N21,Assumptions!$A$21:$C$24,3)</f>
        <v/>
      </c>
      <c r="W21" s="21">
        <f>$J21*VLOOKUP($O21,Assumptions!$A$21:$C$24,3)</f>
        <v/>
      </c>
    </row>
    <row r="22">
      <c r="A22" s="8" t="inlineStr">
        <is>
          <t>CENTREBRIDGE</t>
        </is>
      </c>
      <c r="B22" s="8" t="inlineStr">
        <is>
          <t>DR</t>
        </is>
      </c>
      <c r="C22" s="8" t="inlineStr">
        <is>
          <t>Centerbridge</t>
        </is>
      </c>
      <c r="D22" s="8" t="inlineStr">
        <is>
          <t>No one</t>
        </is>
      </c>
      <c r="E22" s="8" t="n">
        <v>222.7</v>
      </c>
      <c r="F22" s="20" t="n">
        <v>0.0421780303030303</v>
      </c>
      <c r="G22" s="8" t="n">
        <v>32</v>
      </c>
      <c r="H22" s="21" t="n">
        <v>7126.4</v>
      </c>
      <c r="I22" s="21" t="n"/>
      <c r="J22" s="21">
        <f>H22+IF(I22="",0,I22)</f>
        <v/>
      </c>
      <c r="K22" s="22" t="n">
        <v>12.35</v>
      </c>
      <c r="L22" s="8" t="inlineStr">
        <is>
          <t>Measured</t>
        </is>
      </c>
      <c r="M22" s="22">
        <f>MAX(0,$K22-Assumptions!$B$12*5)</f>
        <v/>
      </c>
      <c r="N22" s="22">
        <f>MAX(0,$K22-Assumptions!$B$12*10)</f>
        <v/>
      </c>
      <c r="O22" s="22">
        <f>MAX(0,$K22-Assumptions!$B$12*16)</f>
        <v/>
      </c>
      <c r="P22" s="8">
        <f>VLOOKUP($K22,Assumptions!$A$21:$B$24,2)</f>
        <v/>
      </c>
      <c r="Q22" s="8">
        <f>VLOOKUP($M22,Assumptions!$A$21:$B$24,2)</f>
        <v/>
      </c>
      <c r="R22" s="8">
        <f>VLOOKUP($N22,Assumptions!$A$21:$B$24,2)</f>
        <v/>
      </c>
      <c r="S22" s="8">
        <f>VLOOKUP($O22,Assumptions!$A$21:$B$24,2)</f>
        <v/>
      </c>
      <c r="T22" s="21">
        <f>$J22*VLOOKUP($K22,Assumptions!$A$21:$C$24,3)</f>
        <v/>
      </c>
      <c r="U22" s="21">
        <f>$J22*VLOOKUP($M22,Assumptions!$A$21:$C$24,3)</f>
        <v/>
      </c>
      <c r="V22" s="21">
        <f>$J22*VLOOKUP($N22,Assumptions!$A$21:$C$24,3)</f>
        <v/>
      </c>
      <c r="W22" s="21">
        <f>$J22*VLOOKUP($O22,Assumptions!$A$21:$C$24,3)</f>
        <v/>
      </c>
    </row>
    <row r="23">
      <c r="A23" s="8" t="inlineStr">
        <is>
          <t>CAMELIA</t>
        </is>
      </c>
      <c r="B23" s="8" t="inlineStr">
        <is>
          <t>CT</t>
        </is>
      </c>
      <c r="C23" s="8" t="inlineStr">
        <is>
          <t>Cottonwood Park West</t>
        </is>
      </c>
      <c r="D23" s="8" t="inlineStr">
        <is>
          <t>No one</t>
        </is>
      </c>
      <c r="E23" s="8" t="n">
        <v>158.5</v>
      </c>
      <c r="F23" s="20" t="n">
        <v>0.03001893939393939</v>
      </c>
      <c r="G23" s="8" t="n">
        <v>80</v>
      </c>
      <c r="H23" s="21" t="n">
        <v>12680</v>
      </c>
      <c r="I23" s="21" t="n"/>
      <c r="J23" s="21">
        <f>H23+IF(I23="",0,I23)</f>
        <v/>
      </c>
      <c r="K23" s="22" t="n">
        <v>11.78</v>
      </c>
      <c r="L23" s="8" t="inlineStr">
        <is>
          <t>Measured</t>
        </is>
      </c>
      <c r="M23" s="22">
        <f>MAX(0,$K23-Assumptions!$B$12*5)</f>
        <v/>
      </c>
      <c r="N23" s="22">
        <f>MAX(0,$K23-Assumptions!$B$12*10)</f>
        <v/>
      </c>
      <c r="O23" s="22">
        <f>MAX(0,$K23-Assumptions!$B$12*16)</f>
        <v/>
      </c>
      <c r="P23" s="8">
        <f>VLOOKUP($K23,Assumptions!$A$21:$B$24,2)</f>
        <v/>
      </c>
      <c r="Q23" s="8">
        <f>VLOOKUP($M23,Assumptions!$A$21:$B$24,2)</f>
        <v/>
      </c>
      <c r="R23" s="8">
        <f>VLOOKUP($N23,Assumptions!$A$21:$B$24,2)</f>
        <v/>
      </c>
      <c r="S23" s="8">
        <f>VLOOKUP($O23,Assumptions!$A$21:$B$24,2)</f>
        <v/>
      </c>
      <c r="T23" s="21">
        <f>$J23*VLOOKUP($K23,Assumptions!$A$21:$C$24,3)</f>
        <v/>
      </c>
      <c r="U23" s="21">
        <f>$J23*VLOOKUP($M23,Assumptions!$A$21:$C$24,3)</f>
        <v/>
      </c>
      <c r="V23" s="21">
        <f>$J23*VLOOKUP($N23,Assumptions!$A$21:$C$24,3)</f>
        <v/>
      </c>
      <c r="W23" s="21">
        <f>$J23*VLOOKUP($O23,Assumptions!$A$21:$C$24,3)</f>
        <v/>
      </c>
    </row>
    <row r="24">
      <c r="A24" s="8" t="inlineStr">
        <is>
          <t>CAMELIA</t>
        </is>
      </c>
      <c r="B24" s="8" t="inlineStr">
        <is>
          <t>CT</t>
        </is>
      </c>
      <c r="C24" s="8" t="inlineStr">
        <is>
          <t>Cottonwood Park West</t>
        </is>
      </c>
      <c r="D24" s="8" t="inlineStr">
        <is>
          <t>No one</t>
        </is>
      </c>
      <c r="E24" s="8" t="n">
        <v>120.3</v>
      </c>
      <c r="F24" s="20" t="n">
        <v>0.02278409090909091</v>
      </c>
      <c r="G24" s="8" t="n">
        <v>80</v>
      </c>
      <c r="H24" s="21" t="n">
        <v>9624</v>
      </c>
      <c r="I24" s="21" t="n"/>
      <c r="J24" s="21">
        <f>H24+IF(I24="",0,I24)</f>
        <v/>
      </c>
      <c r="K24" s="22" t="n">
        <v>16.33</v>
      </c>
      <c r="L24" s="8" t="inlineStr">
        <is>
          <t>Measured</t>
        </is>
      </c>
      <c r="M24" s="22">
        <f>MAX(0,$K24-Assumptions!$B$12*5)</f>
        <v/>
      </c>
      <c r="N24" s="22">
        <f>MAX(0,$K24-Assumptions!$B$12*10)</f>
        <v/>
      </c>
      <c r="O24" s="22">
        <f>MAX(0,$K24-Assumptions!$B$12*16)</f>
        <v/>
      </c>
      <c r="P24" s="8">
        <f>VLOOKUP($K24,Assumptions!$A$21:$B$24,2)</f>
        <v/>
      </c>
      <c r="Q24" s="8">
        <f>VLOOKUP($M24,Assumptions!$A$21:$B$24,2)</f>
        <v/>
      </c>
      <c r="R24" s="8">
        <f>VLOOKUP($N24,Assumptions!$A$21:$B$24,2)</f>
        <v/>
      </c>
      <c r="S24" s="8">
        <f>VLOOKUP($O24,Assumptions!$A$21:$B$24,2)</f>
        <v/>
      </c>
      <c r="T24" s="21">
        <f>$J24*VLOOKUP($K24,Assumptions!$A$21:$C$24,3)</f>
        <v/>
      </c>
      <c r="U24" s="21">
        <f>$J24*VLOOKUP($M24,Assumptions!$A$21:$C$24,3)</f>
        <v/>
      </c>
      <c r="V24" s="21">
        <f>$J24*VLOOKUP($N24,Assumptions!$A$21:$C$24,3)</f>
        <v/>
      </c>
      <c r="W24" s="21">
        <f>$J24*VLOOKUP($O24,Assumptions!$A$21:$C$24,3)</f>
        <v/>
      </c>
    </row>
    <row r="25">
      <c r="A25" s="8" t="inlineStr">
        <is>
          <t>CONIFER</t>
        </is>
      </c>
      <c r="B25" s="8" t="inlineStr">
        <is>
          <t>CT</t>
        </is>
      </c>
      <c r="C25" s="8" t="inlineStr">
        <is>
          <t>Cottonwood Park West</t>
        </is>
      </c>
      <c r="D25" s="8" t="inlineStr">
        <is>
          <t>No one</t>
        </is>
      </c>
      <c r="E25" s="8" t="n">
        <v>93.7</v>
      </c>
      <c r="F25" s="20" t="n">
        <v>0.01774621212121212</v>
      </c>
      <c r="G25" s="8" t="n">
        <v>80</v>
      </c>
      <c r="H25" s="21" t="n">
        <v>7496</v>
      </c>
      <c r="I25" s="21" t="n"/>
      <c r="J25" s="21">
        <f>H25+IF(I25="",0,I25)</f>
        <v/>
      </c>
      <c r="K25" s="22" t="n">
        <v>32.21</v>
      </c>
      <c r="L25" s="8" t="inlineStr">
        <is>
          <t>Measured</t>
        </is>
      </c>
      <c r="M25" s="22">
        <f>MAX(0,$K25-Assumptions!$B$12*5)</f>
        <v/>
      </c>
      <c r="N25" s="22">
        <f>MAX(0,$K25-Assumptions!$B$12*10)</f>
        <v/>
      </c>
      <c r="O25" s="22">
        <f>MAX(0,$K25-Assumptions!$B$12*16)</f>
        <v/>
      </c>
      <c r="P25" s="8">
        <f>VLOOKUP($K25,Assumptions!$A$21:$B$24,2)</f>
        <v/>
      </c>
      <c r="Q25" s="8">
        <f>VLOOKUP($M25,Assumptions!$A$21:$B$24,2)</f>
        <v/>
      </c>
      <c r="R25" s="8">
        <f>VLOOKUP($N25,Assumptions!$A$21:$B$24,2)</f>
        <v/>
      </c>
      <c r="S25" s="8">
        <f>VLOOKUP($O25,Assumptions!$A$21:$B$24,2)</f>
        <v/>
      </c>
      <c r="T25" s="21">
        <f>$J25*VLOOKUP($K25,Assumptions!$A$21:$C$24,3)</f>
        <v/>
      </c>
      <c r="U25" s="21">
        <f>$J25*VLOOKUP($M25,Assumptions!$A$21:$C$24,3)</f>
        <v/>
      </c>
      <c r="V25" s="21">
        <f>$J25*VLOOKUP($N25,Assumptions!$A$21:$C$24,3)</f>
        <v/>
      </c>
      <c r="W25" s="21">
        <f>$J25*VLOOKUP($O25,Assumptions!$A$21:$C$24,3)</f>
        <v/>
      </c>
    </row>
    <row r="26">
      <c r="A26" s="8" t="inlineStr">
        <is>
          <t>MANILA</t>
        </is>
      </c>
      <c r="B26" s="8" t="inlineStr">
        <is>
          <t>PL</t>
        </is>
      </c>
      <c r="C26" s="8" t="inlineStr">
        <is>
          <t>Cottonwood Park West</t>
        </is>
      </c>
      <c r="D26" s="8" t="inlineStr">
        <is>
          <t>No one</t>
        </is>
      </c>
      <c r="E26" s="8" t="n">
        <v>365.1</v>
      </c>
      <c r="F26" s="20" t="n">
        <v>0.06914772727272728</v>
      </c>
      <c r="G26" s="8" t="n">
        <v>32</v>
      </c>
      <c r="H26" s="21" t="n">
        <v>11683.2</v>
      </c>
      <c r="I26" s="21" t="n">
        <v>2500</v>
      </c>
      <c r="J26" s="21">
        <f>H26+IF(I26="",0,I26)</f>
        <v/>
      </c>
      <c r="K26" s="22" t="n">
        <v>0.63</v>
      </c>
      <c r="L26" s="8" t="inlineStr">
        <is>
          <t>Measured</t>
        </is>
      </c>
      <c r="M26" s="22">
        <f>MAX(0,$K26-Assumptions!$B$12*5)</f>
        <v/>
      </c>
      <c r="N26" s="22">
        <f>MAX(0,$K26-Assumptions!$B$12*10)</f>
        <v/>
      </c>
      <c r="O26" s="22">
        <f>MAX(0,$K26-Assumptions!$B$12*16)</f>
        <v/>
      </c>
      <c r="P26" s="8">
        <f>VLOOKUP($K26,Assumptions!$A$21:$B$24,2)</f>
        <v/>
      </c>
      <c r="Q26" s="8">
        <f>VLOOKUP($M26,Assumptions!$A$21:$B$24,2)</f>
        <v/>
      </c>
      <c r="R26" s="8">
        <f>VLOOKUP($N26,Assumptions!$A$21:$B$24,2)</f>
        <v/>
      </c>
      <c r="S26" s="8">
        <f>VLOOKUP($O26,Assumptions!$A$21:$B$24,2)</f>
        <v/>
      </c>
      <c r="T26" s="21">
        <f>$J26*VLOOKUP($K26,Assumptions!$A$21:$C$24,3)</f>
        <v/>
      </c>
      <c r="U26" s="21">
        <f>$J26*VLOOKUP($M26,Assumptions!$A$21:$C$24,3)</f>
        <v/>
      </c>
      <c r="V26" s="21">
        <f>$J26*VLOOKUP($N26,Assumptions!$A$21:$C$24,3)</f>
        <v/>
      </c>
      <c r="W26" s="21">
        <f>$J26*VLOOKUP($O26,Assumptions!$A$21:$C$24,3)</f>
        <v/>
      </c>
    </row>
    <row r="27">
      <c r="A27" s="8" t="inlineStr">
        <is>
          <t>MATAI</t>
        </is>
      </c>
      <c r="B27" s="8" t="inlineStr">
        <is>
          <t>CT</t>
        </is>
      </c>
      <c r="C27" s="8" t="inlineStr">
        <is>
          <t>Cottonwood Park West</t>
        </is>
      </c>
      <c r="D27" s="8" t="inlineStr">
        <is>
          <t>No one</t>
        </is>
      </c>
      <c r="E27" s="8" t="n">
        <v>90.7</v>
      </c>
      <c r="F27" s="20" t="n">
        <v>0.0171780303030303</v>
      </c>
      <c r="G27" s="8" t="n">
        <v>80</v>
      </c>
      <c r="H27" s="21" t="n">
        <v>7256</v>
      </c>
      <c r="I27" s="21" t="n"/>
      <c r="J27" s="21">
        <f>H27+IF(I27="",0,I27)</f>
        <v/>
      </c>
      <c r="K27" s="22" t="n">
        <v>0.15</v>
      </c>
      <c r="L27" s="8" t="inlineStr">
        <is>
          <t>Measured</t>
        </is>
      </c>
      <c r="M27" s="22">
        <f>MAX(0,$K27-Assumptions!$B$12*5)</f>
        <v/>
      </c>
      <c r="N27" s="22">
        <f>MAX(0,$K27-Assumptions!$B$12*10)</f>
        <v/>
      </c>
      <c r="O27" s="22">
        <f>MAX(0,$K27-Assumptions!$B$12*16)</f>
        <v/>
      </c>
      <c r="P27" s="8">
        <f>VLOOKUP($K27,Assumptions!$A$21:$B$24,2)</f>
        <v/>
      </c>
      <c r="Q27" s="8">
        <f>VLOOKUP($M27,Assumptions!$A$21:$B$24,2)</f>
        <v/>
      </c>
      <c r="R27" s="8">
        <f>VLOOKUP($N27,Assumptions!$A$21:$B$24,2)</f>
        <v/>
      </c>
      <c r="S27" s="8">
        <f>VLOOKUP($O27,Assumptions!$A$21:$B$24,2)</f>
        <v/>
      </c>
      <c r="T27" s="21">
        <f>$J27*VLOOKUP($K27,Assumptions!$A$21:$C$24,3)</f>
        <v/>
      </c>
      <c r="U27" s="21">
        <f>$J27*VLOOKUP($M27,Assumptions!$A$21:$C$24,3)</f>
        <v/>
      </c>
      <c r="V27" s="21">
        <f>$J27*VLOOKUP($N27,Assumptions!$A$21:$C$24,3)</f>
        <v/>
      </c>
      <c r="W27" s="21">
        <f>$J27*VLOOKUP($O27,Assumptions!$A$21:$C$24,3)</f>
        <v/>
      </c>
    </row>
    <row r="28">
      <c r="A28" s="8" t="inlineStr">
        <is>
          <t>NIKAU</t>
        </is>
      </c>
      <c r="B28" s="8" t="inlineStr">
        <is>
          <t>CT</t>
        </is>
      </c>
      <c r="C28" s="8" t="inlineStr">
        <is>
          <t>Cottonwood Park West</t>
        </is>
      </c>
      <c r="D28" s="8" t="inlineStr">
        <is>
          <t>No one</t>
        </is>
      </c>
      <c r="E28" s="8" t="n">
        <v>150.1</v>
      </c>
      <c r="F28" s="20" t="n">
        <v>0.0284280303030303</v>
      </c>
      <c r="G28" s="8" t="n">
        <v>80</v>
      </c>
      <c r="H28" s="21" t="n">
        <v>12008</v>
      </c>
      <c r="I28" s="21" t="n"/>
      <c r="J28" s="21">
        <f>H28+IF(I28="",0,I28)</f>
        <v/>
      </c>
      <c r="K28" s="22" t="n">
        <v>8.720000000000001</v>
      </c>
      <c r="L28" s="8" t="inlineStr">
        <is>
          <t>Measured</t>
        </is>
      </c>
      <c r="M28" s="22">
        <f>MAX(0,$K28-Assumptions!$B$12*5)</f>
        <v/>
      </c>
      <c r="N28" s="22">
        <f>MAX(0,$K28-Assumptions!$B$12*10)</f>
        <v/>
      </c>
      <c r="O28" s="22">
        <f>MAX(0,$K28-Assumptions!$B$12*16)</f>
        <v/>
      </c>
      <c r="P28" s="8">
        <f>VLOOKUP($K28,Assumptions!$A$21:$B$24,2)</f>
        <v/>
      </c>
      <c r="Q28" s="8">
        <f>VLOOKUP($M28,Assumptions!$A$21:$B$24,2)</f>
        <v/>
      </c>
      <c r="R28" s="8">
        <f>VLOOKUP($N28,Assumptions!$A$21:$B$24,2)</f>
        <v/>
      </c>
      <c r="S28" s="8">
        <f>VLOOKUP($O28,Assumptions!$A$21:$B$24,2)</f>
        <v/>
      </c>
      <c r="T28" s="21">
        <f>$J28*VLOOKUP($K28,Assumptions!$A$21:$C$24,3)</f>
        <v/>
      </c>
      <c r="U28" s="21">
        <f>$J28*VLOOKUP($M28,Assumptions!$A$21:$C$24,3)</f>
        <v/>
      </c>
      <c r="V28" s="21">
        <f>$J28*VLOOKUP($N28,Assumptions!$A$21:$C$24,3)</f>
        <v/>
      </c>
      <c r="W28" s="21">
        <f>$J28*VLOOKUP($O28,Assumptions!$A$21:$C$24,3)</f>
        <v/>
      </c>
    </row>
    <row r="29">
      <c r="A29" s="8" t="inlineStr">
        <is>
          <t>NIKAU</t>
        </is>
      </c>
      <c r="B29" s="8" t="inlineStr">
        <is>
          <t>DR</t>
        </is>
      </c>
      <c r="C29" s="8" t="inlineStr">
        <is>
          <t>Cottonwood Park West</t>
        </is>
      </c>
      <c r="D29" s="8" t="inlineStr">
        <is>
          <t>No one</t>
        </is>
      </c>
      <c r="E29" s="8" t="n">
        <v>1021.2</v>
      </c>
      <c r="F29" s="20" t="n">
        <v>0.1934090909090909</v>
      </c>
      <c r="G29" s="8" t="n">
        <v>33</v>
      </c>
      <c r="H29" s="21" t="n">
        <v>33699.6</v>
      </c>
      <c r="I29" s="21" t="n"/>
      <c r="J29" s="21">
        <f>H29+IF(I29="",0,I29)</f>
        <v/>
      </c>
      <c r="K29" s="22" t="n">
        <v>12.58</v>
      </c>
      <c r="L29" s="8" t="inlineStr">
        <is>
          <t>Measured</t>
        </is>
      </c>
      <c r="M29" s="22">
        <f>MAX(0,$K29-Assumptions!$B$12*5)</f>
        <v/>
      </c>
      <c r="N29" s="22">
        <f>MAX(0,$K29-Assumptions!$B$12*10)</f>
        <v/>
      </c>
      <c r="O29" s="22">
        <f>MAX(0,$K29-Assumptions!$B$12*16)</f>
        <v/>
      </c>
      <c r="P29" s="8">
        <f>VLOOKUP($K29,Assumptions!$A$21:$B$24,2)</f>
        <v/>
      </c>
      <c r="Q29" s="8">
        <f>VLOOKUP($M29,Assumptions!$A$21:$B$24,2)</f>
        <v/>
      </c>
      <c r="R29" s="8">
        <f>VLOOKUP($N29,Assumptions!$A$21:$B$24,2)</f>
        <v/>
      </c>
      <c r="S29" s="8">
        <f>VLOOKUP($O29,Assumptions!$A$21:$B$24,2)</f>
        <v/>
      </c>
      <c r="T29" s="21">
        <f>$J29*VLOOKUP($K29,Assumptions!$A$21:$C$24,3)</f>
        <v/>
      </c>
      <c r="U29" s="21">
        <f>$J29*VLOOKUP($M29,Assumptions!$A$21:$C$24,3)</f>
        <v/>
      </c>
      <c r="V29" s="21">
        <f>$J29*VLOOKUP($N29,Assumptions!$A$21:$C$24,3)</f>
        <v/>
      </c>
      <c r="W29" s="21">
        <f>$J29*VLOOKUP($O29,Assumptions!$A$21:$C$24,3)</f>
        <v/>
      </c>
    </row>
    <row r="30">
      <c r="A30" s="8" t="inlineStr">
        <is>
          <t>NIKAU</t>
        </is>
      </c>
      <c r="B30" s="8" t="inlineStr">
        <is>
          <t>DR</t>
        </is>
      </c>
      <c r="C30" s="8" t="inlineStr">
        <is>
          <t>Cottonwood Park West</t>
        </is>
      </c>
      <c r="D30" s="8" t="inlineStr">
        <is>
          <t>No one</t>
        </is>
      </c>
      <c r="E30" s="8" t="n">
        <v>66</v>
      </c>
      <c r="F30" s="20" t="n">
        <v>0.0125</v>
      </c>
      <c r="G30" s="8" t="n">
        <v>33</v>
      </c>
      <c r="H30" s="21" t="n">
        <v>2178</v>
      </c>
      <c r="I30" s="21" t="n"/>
      <c r="J30" s="21">
        <f>H30+IF(I30="",0,I30)</f>
        <v/>
      </c>
      <c r="K30" s="22" t="n">
        <v>13.1</v>
      </c>
      <c r="L30" s="8" t="inlineStr">
        <is>
          <t>Measured</t>
        </is>
      </c>
      <c r="M30" s="22">
        <f>MAX(0,$K30-Assumptions!$B$12*5)</f>
        <v/>
      </c>
      <c r="N30" s="22">
        <f>MAX(0,$K30-Assumptions!$B$12*10)</f>
        <v/>
      </c>
      <c r="O30" s="22">
        <f>MAX(0,$K30-Assumptions!$B$12*16)</f>
        <v/>
      </c>
      <c r="P30" s="8">
        <f>VLOOKUP($K30,Assumptions!$A$21:$B$24,2)</f>
        <v/>
      </c>
      <c r="Q30" s="8">
        <f>VLOOKUP($M30,Assumptions!$A$21:$B$24,2)</f>
        <v/>
      </c>
      <c r="R30" s="8">
        <f>VLOOKUP($N30,Assumptions!$A$21:$B$24,2)</f>
        <v/>
      </c>
      <c r="S30" s="8">
        <f>VLOOKUP($O30,Assumptions!$A$21:$B$24,2)</f>
        <v/>
      </c>
      <c r="T30" s="21">
        <f>$J30*VLOOKUP($K30,Assumptions!$A$21:$C$24,3)</f>
        <v/>
      </c>
      <c r="U30" s="21">
        <f>$J30*VLOOKUP($M30,Assumptions!$A$21:$C$24,3)</f>
        <v/>
      </c>
      <c r="V30" s="21">
        <f>$J30*VLOOKUP($N30,Assumptions!$A$21:$C$24,3)</f>
        <v/>
      </c>
      <c r="W30" s="21">
        <f>$J30*VLOOKUP($O30,Assumptions!$A$21:$C$24,3)</f>
        <v/>
      </c>
    </row>
    <row r="31">
      <c r="A31" s="8" t="inlineStr">
        <is>
          <t>NIKAU</t>
        </is>
      </c>
      <c r="B31" s="8" t="inlineStr">
        <is>
          <t>DR</t>
        </is>
      </c>
      <c r="C31" s="8" t="inlineStr">
        <is>
          <t>Cottonwood Park West</t>
        </is>
      </c>
      <c r="D31" s="8" t="inlineStr">
        <is>
          <t>No one</t>
        </is>
      </c>
      <c r="E31" s="8" t="n">
        <v>733.1</v>
      </c>
      <c r="F31" s="20" t="n">
        <v>0.138844696969697</v>
      </c>
      <c r="G31" s="8" t="n">
        <v>33</v>
      </c>
      <c r="H31" s="21" t="n">
        <v>24192.3</v>
      </c>
      <c r="I31" s="21" t="n"/>
      <c r="J31" s="21">
        <f>H31+IF(I31="",0,I31)</f>
        <v/>
      </c>
      <c r="K31" s="22" t="n">
        <v>14.62</v>
      </c>
      <c r="L31" s="8" t="inlineStr">
        <is>
          <t>Measured</t>
        </is>
      </c>
      <c r="M31" s="22">
        <f>MAX(0,$K31-Assumptions!$B$12*5)</f>
        <v/>
      </c>
      <c r="N31" s="22">
        <f>MAX(0,$K31-Assumptions!$B$12*10)</f>
        <v/>
      </c>
      <c r="O31" s="22">
        <f>MAX(0,$K31-Assumptions!$B$12*16)</f>
        <v/>
      </c>
      <c r="P31" s="8">
        <f>VLOOKUP($K31,Assumptions!$A$21:$B$24,2)</f>
        <v/>
      </c>
      <c r="Q31" s="8">
        <f>VLOOKUP($M31,Assumptions!$A$21:$B$24,2)</f>
        <v/>
      </c>
      <c r="R31" s="8">
        <f>VLOOKUP($N31,Assumptions!$A$21:$B$24,2)</f>
        <v/>
      </c>
      <c r="S31" s="8">
        <f>VLOOKUP($O31,Assumptions!$A$21:$B$24,2)</f>
        <v/>
      </c>
      <c r="T31" s="21">
        <f>$J31*VLOOKUP($K31,Assumptions!$A$21:$C$24,3)</f>
        <v/>
      </c>
      <c r="U31" s="21">
        <f>$J31*VLOOKUP($M31,Assumptions!$A$21:$C$24,3)</f>
        <v/>
      </c>
      <c r="V31" s="21">
        <f>$J31*VLOOKUP($N31,Assumptions!$A$21:$C$24,3)</f>
        <v/>
      </c>
      <c r="W31" s="21">
        <f>$J31*VLOOKUP($O31,Assumptions!$A$21:$C$24,3)</f>
        <v/>
      </c>
    </row>
    <row r="32">
      <c r="A32" s="8" t="inlineStr">
        <is>
          <t>NIWOT SQUARE</t>
        </is>
      </c>
      <c r="B32" s="8" t="inlineStr">
        <is>
          <t>DR</t>
        </is>
      </c>
      <c r="C32" s="8" t="inlineStr">
        <is>
          <t>Cottonwood Park West</t>
        </is>
      </c>
      <c r="D32" s="8" t="inlineStr">
        <is>
          <t>No one</t>
        </is>
      </c>
      <c r="E32" s="8" t="n">
        <v>51.1</v>
      </c>
      <c r="F32" s="20" t="n">
        <v>0.009678030303030303</v>
      </c>
      <c r="G32" s="8" t="n">
        <v>36</v>
      </c>
      <c r="H32" s="21" t="n">
        <v>1839.6</v>
      </c>
      <c r="I32" s="21" t="n"/>
      <c r="J32" s="21">
        <f>H32+IF(I32="",0,I32)</f>
        <v/>
      </c>
      <c r="K32" s="22" t="n">
        <v>71.92</v>
      </c>
      <c r="L32" s="8" t="inlineStr">
        <is>
          <t>Measured</t>
        </is>
      </c>
      <c r="M32" s="22">
        <f>MAX(0,$K32-Assumptions!$B$12*5)</f>
        <v/>
      </c>
      <c r="N32" s="22">
        <f>MAX(0,$K32-Assumptions!$B$12*10)</f>
        <v/>
      </c>
      <c r="O32" s="22">
        <f>MAX(0,$K32-Assumptions!$B$12*16)</f>
        <v/>
      </c>
      <c r="P32" s="8">
        <f>VLOOKUP($K32,Assumptions!$A$21:$B$24,2)</f>
        <v/>
      </c>
      <c r="Q32" s="8">
        <f>VLOOKUP($M32,Assumptions!$A$21:$B$24,2)</f>
        <v/>
      </c>
      <c r="R32" s="8">
        <f>VLOOKUP($N32,Assumptions!$A$21:$B$24,2)</f>
        <v/>
      </c>
      <c r="S32" s="8">
        <f>VLOOKUP($O32,Assumptions!$A$21:$B$24,2)</f>
        <v/>
      </c>
      <c r="T32" s="21">
        <f>$J32*VLOOKUP($K32,Assumptions!$A$21:$C$24,3)</f>
        <v/>
      </c>
      <c r="U32" s="21">
        <f>$J32*VLOOKUP($M32,Assumptions!$A$21:$C$24,3)</f>
        <v/>
      </c>
      <c r="V32" s="21">
        <f>$J32*VLOOKUP($N32,Assumptions!$A$21:$C$24,3)</f>
        <v/>
      </c>
      <c r="W32" s="21">
        <f>$J32*VLOOKUP($O32,Assumptions!$A$21:$C$24,3)</f>
        <v/>
      </c>
    </row>
    <row r="33">
      <c r="A33" s="8" t="inlineStr">
        <is>
          <t>NIWOT SQUARE</t>
        </is>
      </c>
      <c r="B33" s="8" t="inlineStr">
        <is>
          <t>DR</t>
        </is>
      </c>
      <c r="C33" s="8" t="inlineStr">
        <is>
          <t>Cottonwood Park West</t>
        </is>
      </c>
      <c r="D33" s="8" t="inlineStr">
        <is>
          <t>No one</t>
        </is>
      </c>
      <c r="E33" s="8" t="n">
        <v>2122.1</v>
      </c>
      <c r="F33" s="20" t="n">
        <v>0.4019128787878788</v>
      </c>
      <c r="G33" s="8" t="n">
        <v>36</v>
      </c>
      <c r="H33" s="21" t="n">
        <v>76395.59999999999</v>
      </c>
      <c r="I33" s="21" t="n"/>
      <c r="J33" s="21">
        <f>H33+IF(I33="",0,I33)</f>
        <v/>
      </c>
      <c r="K33" s="22" t="n">
        <v>81.43000000000001</v>
      </c>
      <c r="L33" s="8" t="inlineStr">
        <is>
          <t>Measured</t>
        </is>
      </c>
      <c r="M33" s="22">
        <f>MAX(0,$K33-Assumptions!$B$12*5)</f>
        <v/>
      </c>
      <c r="N33" s="22">
        <f>MAX(0,$K33-Assumptions!$B$12*10)</f>
        <v/>
      </c>
      <c r="O33" s="22">
        <f>MAX(0,$K33-Assumptions!$B$12*16)</f>
        <v/>
      </c>
      <c r="P33" s="8">
        <f>VLOOKUP($K33,Assumptions!$A$21:$B$24,2)</f>
        <v/>
      </c>
      <c r="Q33" s="8">
        <f>VLOOKUP($M33,Assumptions!$A$21:$B$24,2)</f>
        <v/>
      </c>
      <c r="R33" s="8">
        <f>VLOOKUP($N33,Assumptions!$A$21:$B$24,2)</f>
        <v/>
      </c>
      <c r="S33" s="8">
        <f>VLOOKUP($O33,Assumptions!$A$21:$B$24,2)</f>
        <v/>
      </c>
      <c r="T33" s="21">
        <f>$J33*VLOOKUP($K33,Assumptions!$A$21:$C$24,3)</f>
        <v/>
      </c>
      <c r="U33" s="21">
        <f>$J33*VLOOKUP($M33,Assumptions!$A$21:$C$24,3)</f>
        <v/>
      </c>
      <c r="V33" s="21">
        <f>$J33*VLOOKUP($N33,Assumptions!$A$21:$C$24,3)</f>
        <v/>
      </c>
      <c r="W33" s="21">
        <f>$J33*VLOOKUP($O33,Assumptions!$A$21:$C$24,3)</f>
        <v/>
      </c>
    </row>
    <row r="34">
      <c r="A34" s="8" t="inlineStr">
        <is>
          <t>COUNTRY CREEK</t>
        </is>
      </c>
      <c r="B34" s="8" t="inlineStr">
        <is>
          <t>DR</t>
        </is>
      </c>
      <c r="C34" s="8" t="inlineStr">
        <is>
          <t>Country Creek</t>
        </is>
      </c>
      <c r="D34" s="8" t="inlineStr">
        <is>
          <t>No one</t>
        </is>
      </c>
      <c r="E34" s="8" t="n">
        <v>1475.4</v>
      </c>
      <c r="F34" s="20" t="n">
        <v>0.2794318181818182</v>
      </c>
      <c r="G34" s="8" t="n">
        <v>34</v>
      </c>
      <c r="H34" s="21" t="n">
        <v>50163.60000000001</v>
      </c>
      <c r="I34" s="21" t="n"/>
      <c r="J34" s="21">
        <f>H34+IF(I34="",0,I34)</f>
        <v/>
      </c>
      <c r="K34" s="22" t="n">
        <v>29.93</v>
      </c>
      <c r="L34" s="8" t="inlineStr">
        <is>
          <t>Measured</t>
        </is>
      </c>
      <c r="M34" s="22">
        <f>MAX(0,$K34-Assumptions!$B$12*5)</f>
        <v/>
      </c>
      <c r="N34" s="22">
        <f>MAX(0,$K34-Assumptions!$B$12*10)</f>
        <v/>
      </c>
      <c r="O34" s="22">
        <f>MAX(0,$K34-Assumptions!$B$12*16)</f>
        <v/>
      </c>
      <c r="P34" s="8">
        <f>VLOOKUP($K34,Assumptions!$A$21:$B$24,2)</f>
        <v/>
      </c>
      <c r="Q34" s="8">
        <f>VLOOKUP($M34,Assumptions!$A$21:$B$24,2)</f>
        <v/>
      </c>
      <c r="R34" s="8">
        <f>VLOOKUP($N34,Assumptions!$A$21:$B$24,2)</f>
        <v/>
      </c>
      <c r="S34" s="8">
        <f>VLOOKUP($O34,Assumptions!$A$21:$B$24,2)</f>
        <v/>
      </c>
      <c r="T34" s="21">
        <f>$J34*VLOOKUP($K34,Assumptions!$A$21:$C$24,3)</f>
        <v/>
      </c>
      <c r="U34" s="21">
        <f>$J34*VLOOKUP($M34,Assumptions!$A$21:$C$24,3)</f>
        <v/>
      </c>
      <c r="V34" s="21">
        <f>$J34*VLOOKUP($N34,Assumptions!$A$21:$C$24,3)</f>
        <v/>
      </c>
      <c r="W34" s="21">
        <f>$J34*VLOOKUP($O34,Assumptions!$A$21:$C$24,3)</f>
        <v/>
      </c>
    </row>
    <row r="35">
      <c r="A35" s="8" t="inlineStr">
        <is>
          <t>BIRD CLIFF</t>
        </is>
      </c>
      <c r="B35" s="8" t="inlineStr">
        <is>
          <t>WAY</t>
        </is>
      </c>
      <c r="C35" s="8" t="inlineStr">
        <is>
          <t>Heather Hills</t>
        </is>
      </c>
      <c r="D35" s="8" t="inlineStr">
        <is>
          <t>No one</t>
        </is>
      </c>
      <c r="E35" s="8" t="n">
        <v>1491.9</v>
      </c>
      <c r="F35" s="20" t="n">
        <v>0.2825568181818182</v>
      </c>
      <c r="G35" s="8" t="n">
        <v>24</v>
      </c>
      <c r="H35" s="21" t="n">
        <v>35805.60000000001</v>
      </c>
      <c r="I35" s="21" t="n"/>
      <c r="J35" s="21">
        <f>H35+IF(I35="",0,I35)</f>
        <v/>
      </c>
      <c r="K35" s="22" t="n">
        <v>20.78</v>
      </c>
      <c r="L35" s="8" t="inlineStr">
        <is>
          <t>Measured</t>
        </is>
      </c>
      <c r="M35" s="22">
        <f>MAX(0,$K35-Assumptions!$B$12*5)</f>
        <v/>
      </c>
      <c r="N35" s="22">
        <f>MAX(0,$K35-Assumptions!$B$12*10)</f>
        <v/>
      </c>
      <c r="O35" s="22">
        <f>MAX(0,$K35-Assumptions!$B$12*16)</f>
        <v/>
      </c>
      <c r="P35" s="8">
        <f>VLOOKUP($K35,Assumptions!$A$21:$B$24,2)</f>
        <v/>
      </c>
      <c r="Q35" s="8">
        <f>VLOOKUP($M35,Assumptions!$A$21:$B$24,2)</f>
        <v/>
      </c>
      <c r="R35" s="8">
        <f>VLOOKUP($N35,Assumptions!$A$21:$B$24,2)</f>
        <v/>
      </c>
      <c r="S35" s="8">
        <f>VLOOKUP($O35,Assumptions!$A$21:$B$24,2)</f>
        <v/>
      </c>
      <c r="T35" s="21">
        <f>$J35*VLOOKUP($K35,Assumptions!$A$21:$C$24,3)</f>
        <v/>
      </c>
      <c r="U35" s="21">
        <f>$J35*VLOOKUP($M35,Assumptions!$A$21:$C$24,3)</f>
        <v/>
      </c>
      <c r="V35" s="21">
        <f>$J35*VLOOKUP($N35,Assumptions!$A$21:$C$24,3)</f>
        <v/>
      </c>
      <c r="W35" s="21">
        <f>$J35*VLOOKUP($O35,Assumptions!$A$21:$C$24,3)</f>
        <v/>
      </c>
    </row>
    <row r="36">
      <c r="A36" s="8" t="inlineStr">
        <is>
          <t>MEADOW LAKE</t>
        </is>
      </c>
      <c r="B36" s="8" t="inlineStr">
        <is>
          <t>RD</t>
        </is>
      </c>
      <c r="C36" s="8" t="inlineStr">
        <is>
          <t>Heather Hills</t>
        </is>
      </c>
      <c r="D36" s="8" t="inlineStr">
        <is>
          <t>No one</t>
        </is>
      </c>
      <c r="E36" s="8" t="n">
        <v>1756.8</v>
      </c>
      <c r="F36" s="20" t="n">
        <v>0.3327272727272727</v>
      </c>
      <c r="G36" s="8" t="n">
        <v>24</v>
      </c>
      <c r="H36" s="21" t="n">
        <v>42163.2</v>
      </c>
      <c r="I36" s="21" t="n"/>
      <c r="J36" s="21">
        <f>H36+IF(I36="",0,I36)</f>
        <v/>
      </c>
      <c r="K36" s="22" t="n">
        <v>29.22</v>
      </c>
      <c r="L36" s="8" t="inlineStr">
        <is>
          <t>Measured</t>
        </is>
      </c>
      <c r="M36" s="22">
        <f>MAX(0,$K36-Assumptions!$B$12*5)</f>
        <v/>
      </c>
      <c r="N36" s="22">
        <f>MAX(0,$K36-Assumptions!$B$12*10)</f>
        <v/>
      </c>
      <c r="O36" s="22">
        <f>MAX(0,$K36-Assumptions!$B$12*16)</f>
        <v/>
      </c>
      <c r="P36" s="8">
        <f>VLOOKUP($K36,Assumptions!$A$21:$B$24,2)</f>
        <v/>
      </c>
      <c r="Q36" s="8">
        <f>VLOOKUP($M36,Assumptions!$A$21:$B$24,2)</f>
        <v/>
      </c>
      <c r="R36" s="8">
        <f>VLOOKUP($N36,Assumptions!$A$21:$B$24,2)</f>
        <v/>
      </c>
      <c r="S36" s="8">
        <f>VLOOKUP($O36,Assumptions!$A$21:$B$24,2)</f>
        <v/>
      </c>
      <c r="T36" s="21">
        <f>$J36*VLOOKUP($K36,Assumptions!$A$21:$C$24,3)</f>
        <v/>
      </c>
      <c r="U36" s="21">
        <f>$J36*VLOOKUP($M36,Assumptions!$A$21:$C$24,3)</f>
        <v/>
      </c>
      <c r="V36" s="21">
        <f>$J36*VLOOKUP($N36,Assumptions!$A$21:$C$24,3)</f>
        <v/>
      </c>
      <c r="W36" s="21">
        <f>$J36*VLOOKUP($O36,Assumptions!$A$21:$C$24,3)</f>
        <v/>
      </c>
    </row>
    <row r="37">
      <c r="A37" s="8" t="inlineStr">
        <is>
          <t>ALFALFA</t>
        </is>
      </c>
      <c r="B37" s="8" t="inlineStr">
        <is>
          <t>CT</t>
        </is>
      </c>
      <c r="C37" s="8" t="inlineStr">
        <is>
          <t>Dry Creek HOA/Johson Farm</t>
        </is>
      </c>
      <c r="D37" s="8" t="inlineStr">
        <is>
          <t>No one</t>
        </is>
      </c>
      <c r="E37" s="8" t="n">
        <v>362.1</v>
      </c>
      <c r="F37" s="20" t="n">
        <v>0.06857954545454546</v>
      </c>
      <c r="G37" s="8" t="n">
        <v>31</v>
      </c>
      <c r="H37" s="21" t="n">
        <v>11225.1</v>
      </c>
      <c r="I37" s="21" t="n"/>
      <c r="J37" s="21">
        <f>H37+IF(I37="",0,I37)</f>
        <v/>
      </c>
      <c r="K37" s="22" t="n">
        <v>10.44</v>
      </c>
      <c r="L37" s="8" t="inlineStr">
        <is>
          <t>Measured</t>
        </is>
      </c>
      <c r="M37" s="22">
        <f>MAX(0,$K37-Assumptions!$B$12*5)</f>
        <v/>
      </c>
      <c r="N37" s="22">
        <f>MAX(0,$K37-Assumptions!$B$12*10)</f>
        <v/>
      </c>
      <c r="O37" s="22">
        <f>MAX(0,$K37-Assumptions!$B$12*16)</f>
        <v/>
      </c>
      <c r="P37" s="8">
        <f>VLOOKUP($K37,Assumptions!$A$21:$B$24,2)</f>
        <v/>
      </c>
      <c r="Q37" s="8">
        <f>VLOOKUP($M37,Assumptions!$A$21:$B$24,2)</f>
        <v/>
      </c>
      <c r="R37" s="8">
        <f>VLOOKUP($N37,Assumptions!$A$21:$B$24,2)</f>
        <v/>
      </c>
      <c r="S37" s="8">
        <f>VLOOKUP($O37,Assumptions!$A$21:$B$24,2)</f>
        <v/>
      </c>
      <c r="T37" s="21">
        <f>$J37*VLOOKUP($K37,Assumptions!$A$21:$C$24,3)</f>
        <v/>
      </c>
      <c r="U37" s="21">
        <f>$J37*VLOOKUP($M37,Assumptions!$A$21:$C$24,3)</f>
        <v/>
      </c>
      <c r="V37" s="21">
        <f>$J37*VLOOKUP($N37,Assumptions!$A$21:$C$24,3)</f>
        <v/>
      </c>
      <c r="W37" s="21">
        <f>$J37*VLOOKUP($O37,Assumptions!$A$21:$C$24,3)</f>
        <v/>
      </c>
    </row>
    <row r="38">
      <c r="A38" s="8" t="inlineStr">
        <is>
          <t>CHRISTOPHER</t>
        </is>
      </c>
      <c r="B38" s="8" t="inlineStr">
        <is>
          <t>CT</t>
        </is>
      </c>
      <c r="C38" s="8" t="inlineStr">
        <is>
          <t>Dry Creek HOA/Johson Farm</t>
        </is>
      </c>
      <c r="D38" s="8" t="inlineStr">
        <is>
          <t>No one</t>
        </is>
      </c>
      <c r="E38" s="8" t="n">
        <v>404.7</v>
      </c>
      <c r="F38" s="20" t="n">
        <v>0.07664772727272727</v>
      </c>
      <c r="G38" s="8" t="n">
        <v>31</v>
      </c>
      <c r="H38" s="21" t="n">
        <v>12545.7</v>
      </c>
      <c r="I38" s="21" t="n">
        <v>2500</v>
      </c>
      <c r="J38" s="21">
        <f>H38+IF(I38="",0,I38)</f>
        <v/>
      </c>
      <c r="K38" s="22" t="n">
        <v>29.01</v>
      </c>
      <c r="L38" s="8" t="inlineStr">
        <is>
          <t>Measured</t>
        </is>
      </c>
      <c r="M38" s="22">
        <f>MAX(0,$K38-Assumptions!$B$12*5)</f>
        <v/>
      </c>
      <c r="N38" s="22">
        <f>MAX(0,$K38-Assumptions!$B$12*10)</f>
        <v/>
      </c>
      <c r="O38" s="22">
        <f>MAX(0,$K38-Assumptions!$B$12*16)</f>
        <v/>
      </c>
      <c r="P38" s="8">
        <f>VLOOKUP($K38,Assumptions!$A$21:$B$24,2)</f>
        <v/>
      </c>
      <c r="Q38" s="8">
        <f>VLOOKUP($M38,Assumptions!$A$21:$B$24,2)</f>
        <v/>
      </c>
      <c r="R38" s="8">
        <f>VLOOKUP($N38,Assumptions!$A$21:$B$24,2)</f>
        <v/>
      </c>
      <c r="S38" s="8">
        <f>VLOOKUP($O38,Assumptions!$A$21:$B$24,2)</f>
        <v/>
      </c>
      <c r="T38" s="21">
        <f>$J38*VLOOKUP($K38,Assumptions!$A$21:$C$24,3)</f>
        <v/>
      </c>
      <c r="U38" s="21">
        <f>$J38*VLOOKUP($M38,Assumptions!$A$21:$C$24,3)</f>
        <v/>
      </c>
      <c r="V38" s="21">
        <f>$J38*VLOOKUP($N38,Assumptions!$A$21:$C$24,3)</f>
        <v/>
      </c>
      <c r="W38" s="21">
        <f>$J38*VLOOKUP($O38,Assumptions!$A$21:$C$24,3)</f>
        <v/>
      </c>
    </row>
    <row r="39">
      <c r="A39" s="8" t="inlineStr">
        <is>
          <t>DRY CREEK</t>
        </is>
      </c>
      <c r="B39" s="8" t="inlineStr">
        <is>
          <t>RD</t>
        </is>
      </c>
      <c r="C39" s="8" t="inlineStr">
        <is>
          <t>Dry Creek HOA/Johson Farm</t>
        </is>
      </c>
      <c r="D39" s="8" t="inlineStr">
        <is>
          <t>No one</t>
        </is>
      </c>
      <c r="E39" s="8" t="n">
        <v>1483.7</v>
      </c>
      <c r="F39" s="20" t="n">
        <v>0.2810037878787879</v>
      </c>
      <c r="G39" s="8" t="n">
        <v>33</v>
      </c>
      <c r="H39" s="21" t="n">
        <v>48962.1</v>
      </c>
      <c r="I39" s="21" t="n"/>
      <c r="J39" s="21">
        <f>H39+IF(I39="",0,I39)</f>
        <v/>
      </c>
      <c r="K39" s="22" t="n">
        <v>11.69</v>
      </c>
      <c r="L39" s="8" t="inlineStr">
        <is>
          <t>Measured</t>
        </is>
      </c>
      <c r="M39" s="22">
        <f>MAX(0,$K39-Assumptions!$B$12*5)</f>
        <v/>
      </c>
      <c r="N39" s="22">
        <f>MAX(0,$K39-Assumptions!$B$12*10)</f>
        <v/>
      </c>
      <c r="O39" s="22">
        <f>MAX(0,$K39-Assumptions!$B$12*16)</f>
        <v/>
      </c>
      <c r="P39" s="8">
        <f>VLOOKUP($K39,Assumptions!$A$21:$B$24,2)</f>
        <v/>
      </c>
      <c r="Q39" s="8">
        <f>VLOOKUP($M39,Assumptions!$A$21:$B$24,2)</f>
        <v/>
      </c>
      <c r="R39" s="8">
        <f>VLOOKUP($N39,Assumptions!$A$21:$B$24,2)</f>
        <v/>
      </c>
      <c r="S39" s="8">
        <f>VLOOKUP($O39,Assumptions!$A$21:$B$24,2)</f>
        <v/>
      </c>
      <c r="T39" s="21">
        <f>$J39*VLOOKUP($K39,Assumptions!$A$21:$C$24,3)</f>
        <v/>
      </c>
      <c r="U39" s="21">
        <f>$J39*VLOOKUP($M39,Assumptions!$A$21:$C$24,3)</f>
        <v/>
      </c>
      <c r="V39" s="21">
        <f>$J39*VLOOKUP($N39,Assumptions!$A$21:$C$24,3)</f>
        <v/>
      </c>
      <c r="W39" s="21">
        <f>$J39*VLOOKUP($O39,Assumptions!$A$21:$C$24,3)</f>
        <v/>
      </c>
    </row>
    <row r="40">
      <c r="A40" s="8" t="inlineStr">
        <is>
          <t>DRY CREEK</t>
        </is>
      </c>
      <c r="B40" s="8" t="inlineStr">
        <is>
          <t>RD</t>
        </is>
      </c>
      <c r="C40" s="8" t="inlineStr">
        <is>
          <t>Dry Creek HOA/Johson Farm</t>
        </is>
      </c>
      <c r="D40" s="8" t="inlineStr">
        <is>
          <t>No one</t>
        </is>
      </c>
      <c r="E40" s="8" t="n">
        <v>262.7</v>
      </c>
      <c r="F40" s="20" t="n">
        <v>0.04975378787878788</v>
      </c>
      <c r="G40" s="8" t="n">
        <v>33</v>
      </c>
      <c r="H40" s="21" t="n">
        <v>8669.1</v>
      </c>
      <c r="I40" s="21" t="n"/>
      <c r="J40" s="21">
        <f>H40+IF(I40="",0,I40)</f>
        <v/>
      </c>
      <c r="K40" s="22" t="n">
        <v>13.58</v>
      </c>
      <c r="L40" s="8" t="inlineStr">
        <is>
          <t>Measured</t>
        </is>
      </c>
      <c r="M40" s="22">
        <f>MAX(0,$K40-Assumptions!$B$12*5)</f>
        <v/>
      </c>
      <c r="N40" s="22">
        <f>MAX(0,$K40-Assumptions!$B$12*10)</f>
        <v/>
      </c>
      <c r="O40" s="22">
        <f>MAX(0,$K40-Assumptions!$B$12*16)</f>
        <v/>
      </c>
      <c r="P40" s="8">
        <f>VLOOKUP($K40,Assumptions!$A$21:$B$24,2)</f>
        <v/>
      </c>
      <c r="Q40" s="8">
        <f>VLOOKUP($M40,Assumptions!$A$21:$B$24,2)</f>
        <v/>
      </c>
      <c r="R40" s="8">
        <f>VLOOKUP($N40,Assumptions!$A$21:$B$24,2)</f>
        <v/>
      </c>
      <c r="S40" s="8">
        <f>VLOOKUP($O40,Assumptions!$A$21:$B$24,2)</f>
        <v/>
      </c>
      <c r="T40" s="21">
        <f>$J40*VLOOKUP($K40,Assumptions!$A$21:$C$24,3)</f>
        <v/>
      </c>
      <c r="U40" s="21">
        <f>$J40*VLOOKUP($M40,Assumptions!$A$21:$C$24,3)</f>
        <v/>
      </c>
      <c r="V40" s="21">
        <f>$J40*VLOOKUP($N40,Assumptions!$A$21:$C$24,3)</f>
        <v/>
      </c>
      <c r="W40" s="21">
        <f>$J40*VLOOKUP($O40,Assumptions!$A$21:$C$24,3)</f>
        <v/>
      </c>
    </row>
    <row r="41">
      <c r="A41" s="8" t="inlineStr">
        <is>
          <t>DRY CREEK</t>
        </is>
      </c>
      <c r="B41" s="8" t="inlineStr">
        <is>
          <t>RD</t>
        </is>
      </c>
      <c r="C41" s="8" t="inlineStr">
        <is>
          <t>Dry Creek HOA/Johson Farm</t>
        </is>
      </c>
      <c r="D41" s="8" t="inlineStr">
        <is>
          <t>No one</t>
        </is>
      </c>
      <c r="E41" s="8" t="n">
        <v>1135.4</v>
      </c>
      <c r="F41" s="20" t="n">
        <v>0.2150378787878788</v>
      </c>
      <c r="G41" s="8" t="n">
        <v>33</v>
      </c>
      <c r="H41" s="21" t="n">
        <v>37468.2</v>
      </c>
      <c r="I41" s="21" t="n"/>
      <c r="J41" s="21">
        <f>H41+IF(I41="",0,I41)</f>
        <v/>
      </c>
      <c r="K41" s="22" t="n">
        <v>54.33</v>
      </c>
      <c r="L41" s="8" t="inlineStr">
        <is>
          <t>Measured</t>
        </is>
      </c>
      <c r="M41" s="22">
        <f>MAX(0,$K41-Assumptions!$B$12*5)</f>
        <v/>
      </c>
      <c r="N41" s="22">
        <f>MAX(0,$K41-Assumptions!$B$12*10)</f>
        <v/>
      </c>
      <c r="O41" s="22">
        <f>MAX(0,$K41-Assumptions!$B$12*16)</f>
        <v/>
      </c>
      <c r="P41" s="8">
        <f>VLOOKUP($K41,Assumptions!$A$21:$B$24,2)</f>
        <v/>
      </c>
      <c r="Q41" s="8">
        <f>VLOOKUP($M41,Assumptions!$A$21:$B$24,2)</f>
        <v/>
      </c>
      <c r="R41" s="8">
        <f>VLOOKUP($N41,Assumptions!$A$21:$B$24,2)</f>
        <v/>
      </c>
      <c r="S41" s="8">
        <f>VLOOKUP($O41,Assumptions!$A$21:$B$24,2)</f>
        <v/>
      </c>
      <c r="T41" s="21">
        <f>$J41*VLOOKUP($K41,Assumptions!$A$21:$C$24,3)</f>
        <v/>
      </c>
      <c r="U41" s="21">
        <f>$J41*VLOOKUP($M41,Assumptions!$A$21:$C$24,3)</f>
        <v/>
      </c>
      <c r="V41" s="21">
        <f>$J41*VLOOKUP($N41,Assumptions!$A$21:$C$24,3)</f>
        <v/>
      </c>
      <c r="W41" s="21">
        <f>$J41*VLOOKUP($O41,Assumptions!$A$21:$C$24,3)</f>
        <v/>
      </c>
    </row>
    <row r="42">
      <c r="A42" s="8" t="inlineStr">
        <is>
          <t>JOHNSON</t>
        </is>
      </c>
      <c r="B42" s="8" t="inlineStr">
        <is>
          <t>CIR</t>
        </is>
      </c>
      <c r="C42" s="8" t="inlineStr">
        <is>
          <t>Dry Creek HOA/Johson Farm</t>
        </is>
      </c>
      <c r="D42" s="8" t="inlineStr">
        <is>
          <t>No one</t>
        </is>
      </c>
      <c r="E42" s="8" t="n">
        <v>1475.1</v>
      </c>
      <c r="F42" s="20" t="n">
        <v>0.279375</v>
      </c>
      <c r="G42" s="8" t="n">
        <v>31</v>
      </c>
      <c r="H42" s="21" t="n">
        <v>45728.1</v>
      </c>
      <c r="I42" s="21" t="n"/>
      <c r="J42" s="21">
        <f>H42+IF(I42="",0,I42)</f>
        <v/>
      </c>
      <c r="K42" s="22" t="n">
        <v>5.11</v>
      </c>
      <c r="L42" s="8" t="inlineStr">
        <is>
          <t>Measured</t>
        </is>
      </c>
      <c r="M42" s="22">
        <f>MAX(0,$K42-Assumptions!$B$12*5)</f>
        <v/>
      </c>
      <c r="N42" s="22">
        <f>MAX(0,$K42-Assumptions!$B$12*10)</f>
        <v/>
      </c>
      <c r="O42" s="22">
        <f>MAX(0,$K42-Assumptions!$B$12*16)</f>
        <v/>
      </c>
      <c r="P42" s="8">
        <f>VLOOKUP($K42,Assumptions!$A$21:$B$24,2)</f>
        <v/>
      </c>
      <c r="Q42" s="8">
        <f>VLOOKUP($M42,Assumptions!$A$21:$B$24,2)</f>
        <v/>
      </c>
      <c r="R42" s="8">
        <f>VLOOKUP($N42,Assumptions!$A$21:$B$24,2)</f>
        <v/>
      </c>
      <c r="S42" s="8">
        <f>VLOOKUP($O42,Assumptions!$A$21:$B$24,2)</f>
        <v/>
      </c>
      <c r="T42" s="21">
        <f>$J42*VLOOKUP($K42,Assumptions!$A$21:$C$24,3)</f>
        <v/>
      </c>
      <c r="U42" s="21">
        <f>$J42*VLOOKUP($M42,Assumptions!$A$21:$C$24,3)</f>
        <v/>
      </c>
      <c r="V42" s="21">
        <f>$J42*VLOOKUP($N42,Assumptions!$A$21:$C$24,3)</f>
        <v/>
      </c>
      <c r="W42" s="21">
        <f>$J42*VLOOKUP($O42,Assumptions!$A$21:$C$24,3)</f>
        <v/>
      </c>
    </row>
    <row r="43">
      <c r="A43" s="8" t="inlineStr">
        <is>
          <t>RYE</t>
        </is>
      </c>
      <c r="B43" s="8" t="inlineStr">
        <is>
          <t>CT</t>
        </is>
      </c>
      <c r="C43" s="8" t="inlineStr">
        <is>
          <t>Dry Creek HOA/Johson Farm</t>
        </is>
      </c>
      <c r="D43" s="8" t="inlineStr">
        <is>
          <t>No one</t>
        </is>
      </c>
      <c r="E43" s="8" t="n">
        <v>324.1</v>
      </c>
      <c r="F43" s="20" t="n">
        <v>0.06138257575757576</v>
      </c>
      <c r="G43" s="8" t="n">
        <v>32</v>
      </c>
      <c r="H43" s="21" t="n">
        <v>10371.2</v>
      </c>
      <c r="I43" s="21" t="n"/>
      <c r="J43" s="21">
        <f>H43+IF(I43="",0,I43)</f>
        <v/>
      </c>
      <c r="K43" s="22" t="n">
        <v>0.14</v>
      </c>
      <c r="L43" s="8" t="inlineStr">
        <is>
          <t>Measured</t>
        </is>
      </c>
      <c r="M43" s="22">
        <f>MAX(0,$K43-Assumptions!$B$12*5)</f>
        <v/>
      </c>
      <c r="N43" s="22">
        <f>MAX(0,$K43-Assumptions!$B$12*10)</f>
        <v/>
      </c>
      <c r="O43" s="22">
        <f>MAX(0,$K43-Assumptions!$B$12*16)</f>
        <v/>
      </c>
      <c r="P43" s="8">
        <f>VLOOKUP($K43,Assumptions!$A$21:$B$24,2)</f>
        <v/>
      </c>
      <c r="Q43" s="8">
        <f>VLOOKUP($M43,Assumptions!$A$21:$B$24,2)</f>
        <v/>
      </c>
      <c r="R43" s="8">
        <f>VLOOKUP($N43,Assumptions!$A$21:$B$24,2)</f>
        <v/>
      </c>
      <c r="S43" s="8">
        <f>VLOOKUP($O43,Assumptions!$A$21:$B$24,2)</f>
        <v/>
      </c>
      <c r="T43" s="21">
        <f>$J43*VLOOKUP($K43,Assumptions!$A$21:$C$24,3)</f>
        <v/>
      </c>
      <c r="U43" s="21">
        <f>$J43*VLOOKUP($M43,Assumptions!$A$21:$C$24,3)</f>
        <v/>
      </c>
      <c r="V43" s="21">
        <f>$J43*VLOOKUP($N43,Assumptions!$A$21:$C$24,3)</f>
        <v/>
      </c>
      <c r="W43" s="21">
        <f>$J43*VLOOKUP($O43,Assumptions!$A$21:$C$24,3)</f>
        <v/>
      </c>
    </row>
    <row r="44">
      <c r="A44" s="8" t="inlineStr">
        <is>
          <t>TIMOTHY</t>
        </is>
      </c>
      <c r="B44" s="8" t="inlineStr">
        <is>
          <t>PL</t>
        </is>
      </c>
      <c r="C44" s="8" t="inlineStr">
        <is>
          <t>Dry Creek HOA/Johson Farm</t>
        </is>
      </c>
      <c r="D44" s="8" t="inlineStr">
        <is>
          <t>No one</t>
        </is>
      </c>
      <c r="E44" s="8" t="n">
        <v>202</v>
      </c>
      <c r="F44" s="20" t="n">
        <v>0.03825757575757575</v>
      </c>
      <c r="G44" s="8" t="n">
        <v>31</v>
      </c>
      <c r="H44" s="21" t="n">
        <v>6261.999999999999</v>
      </c>
      <c r="I44" s="21" t="n"/>
      <c r="J44" s="21">
        <f>H44+IF(I44="",0,I44)</f>
        <v/>
      </c>
      <c r="K44" s="22" t="n">
        <v>11.43</v>
      </c>
      <c r="L44" s="8" t="inlineStr">
        <is>
          <t>Measured</t>
        </is>
      </c>
      <c r="M44" s="22">
        <f>MAX(0,$K44-Assumptions!$B$12*5)</f>
        <v/>
      </c>
      <c r="N44" s="22">
        <f>MAX(0,$K44-Assumptions!$B$12*10)</f>
        <v/>
      </c>
      <c r="O44" s="22">
        <f>MAX(0,$K44-Assumptions!$B$12*16)</f>
        <v/>
      </c>
      <c r="P44" s="8">
        <f>VLOOKUP($K44,Assumptions!$A$21:$B$24,2)</f>
        <v/>
      </c>
      <c r="Q44" s="8">
        <f>VLOOKUP($M44,Assumptions!$A$21:$B$24,2)</f>
        <v/>
      </c>
      <c r="R44" s="8">
        <f>VLOOKUP($N44,Assumptions!$A$21:$B$24,2)</f>
        <v/>
      </c>
      <c r="S44" s="8">
        <f>VLOOKUP($O44,Assumptions!$A$21:$B$24,2)</f>
        <v/>
      </c>
      <c r="T44" s="21">
        <f>$J44*VLOOKUP($K44,Assumptions!$A$21:$C$24,3)</f>
        <v/>
      </c>
      <c r="U44" s="21">
        <f>$J44*VLOOKUP($M44,Assumptions!$A$21:$C$24,3)</f>
        <v/>
      </c>
      <c r="V44" s="21">
        <f>$J44*VLOOKUP($N44,Assumptions!$A$21:$C$24,3)</f>
        <v/>
      </c>
      <c r="W44" s="21">
        <f>$J44*VLOOKUP($O44,Assumptions!$A$21:$C$24,3)</f>
        <v/>
      </c>
    </row>
    <row r="45">
      <c r="A45" s="8" t="inlineStr">
        <is>
          <t>TIMOTHY</t>
        </is>
      </c>
      <c r="B45" s="8" t="inlineStr">
        <is>
          <t>PL</t>
        </is>
      </c>
      <c r="C45" s="8" t="inlineStr">
        <is>
          <t>Dry Creek HOA/Johson Farm</t>
        </is>
      </c>
      <c r="D45" s="8" t="inlineStr">
        <is>
          <t>No one</t>
        </is>
      </c>
      <c r="E45" s="8" t="n">
        <v>979</v>
      </c>
      <c r="F45" s="20" t="n">
        <v>0.1854166666666667</v>
      </c>
      <c r="G45" s="8" t="n">
        <v>31</v>
      </c>
      <c r="H45" s="21" t="n">
        <v>30349</v>
      </c>
      <c r="I45" s="21" t="n"/>
      <c r="J45" s="21">
        <f>H45+IF(I45="",0,I45)</f>
        <v/>
      </c>
      <c r="K45" s="22" t="n">
        <v>20.47</v>
      </c>
      <c r="L45" s="8" t="inlineStr">
        <is>
          <t>Measured</t>
        </is>
      </c>
      <c r="M45" s="22">
        <f>MAX(0,$K45-Assumptions!$B$12*5)</f>
        <v/>
      </c>
      <c r="N45" s="22">
        <f>MAX(0,$K45-Assumptions!$B$12*10)</f>
        <v/>
      </c>
      <c r="O45" s="22">
        <f>MAX(0,$K45-Assumptions!$B$12*16)</f>
        <v/>
      </c>
      <c r="P45" s="8">
        <f>VLOOKUP($K45,Assumptions!$A$21:$B$24,2)</f>
        <v/>
      </c>
      <c r="Q45" s="8">
        <f>VLOOKUP($M45,Assumptions!$A$21:$B$24,2)</f>
        <v/>
      </c>
      <c r="R45" s="8">
        <f>VLOOKUP($N45,Assumptions!$A$21:$B$24,2)</f>
        <v/>
      </c>
      <c r="S45" s="8">
        <f>VLOOKUP($O45,Assumptions!$A$21:$B$24,2)</f>
        <v/>
      </c>
      <c r="T45" s="21">
        <f>$J45*VLOOKUP($K45,Assumptions!$A$21:$C$24,3)</f>
        <v/>
      </c>
      <c r="U45" s="21">
        <f>$J45*VLOOKUP($M45,Assumptions!$A$21:$C$24,3)</f>
        <v/>
      </c>
      <c r="V45" s="21">
        <f>$J45*VLOOKUP($N45,Assumptions!$A$21:$C$24,3)</f>
        <v/>
      </c>
      <c r="W45" s="21">
        <f>$J45*VLOOKUP($O45,Assumptions!$A$21:$C$24,3)</f>
        <v/>
      </c>
    </row>
    <row r="46">
      <c r="A46" s="8" t="inlineStr">
        <is>
          <t>LEGEND RIDGE</t>
        </is>
      </c>
      <c r="B46" s="8" t="inlineStr">
        <is>
          <t>TRL</t>
        </is>
      </c>
      <c r="C46" s="8" t="inlineStr">
        <is>
          <t>Legend Ridge</t>
        </is>
      </c>
      <c r="D46" s="8" t="inlineStr">
        <is>
          <t>No one</t>
        </is>
      </c>
      <c r="E46" s="8" t="n">
        <v>458.6</v>
      </c>
      <c r="F46" s="20" t="n">
        <v>0.08685606060606062</v>
      </c>
      <c r="G46" s="8" t="n">
        <v>27</v>
      </c>
      <c r="H46" s="21" t="n">
        <v>12382.2</v>
      </c>
      <c r="I46" s="21" t="n"/>
      <c r="J46" s="21">
        <f>H46+IF(I46="",0,I46)</f>
        <v/>
      </c>
      <c r="K46" s="22" t="n">
        <v>47.62</v>
      </c>
      <c r="L46" s="8" t="inlineStr">
        <is>
          <t>Measured</t>
        </is>
      </c>
      <c r="M46" s="22">
        <f>MAX(0,$K46-Assumptions!$B$12*5)</f>
        <v/>
      </c>
      <c r="N46" s="22">
        <f>MAX(0,$K46-Assumptions!$B$12*10)</f>
        <v/>
      </c>
      <c r="O46" s="22">
        <f>MAX(0,$K46-Assumptions!$B$12*16)</f>
        <v/>
      </c>
      <c r="P46" s="8">
        <f>VLOOKUP($K46,Assumptions!$A$21:$B$24,2)</f>
        <v/>
      </c>
      <c r="Q46" s="8">
        <f>VLOOKUP($M46,Assumptions!$A$21:$B$24,2)</f>
        <v/>
      </c>
      <c r="R46" s="8">
        <f>VLOOKUP($N46,Assumptions!$A$21:$B$24,2)</f>
        <v/>
      </c>
      <c r="S46" s="8">
        <f>VLOOKUP($O46,Assumptions!$A$21:$B$24,2)</f>
        <v/>
      </c>
      <c r="T46" s="21">
        <f>$J46*VLOOKUP($K46,Assumptions!$A$21:$C$24,3)</f>
        <v/>
      </c>
      <c r="U46" s="21">
        <f>$J46*VLOOKUP($M46,Assumptions!$A$21:$C$24,3)</f>
        <v/>
      </c>
      <c r="V46" s="21">
        <f>$J46*VLOOKUP($N46,Assumptions!$A$21:$C$24,3)</f>
        <v/>
      </c>
      <c r="W46" s="21">
        <f>$J46*VLOOKUP($O46,Assumptions!$A$21:$C$24,3)</f>
        <v/>
      </c>
    </row>
    <row r="47">
      <c r="A47" s="8" t="inlineStr">
        <is>
          <t>LEGEND RIDGE</t>
        </is>
      </c>
      <c r="B47" s="8" t="inlineStr">
        <is>
          <t>TRL</t>
        </is>
      </c>
      <c r="C47" s="8" t="inlineStr">
        <is>
          <t>Legend Ridge</t>
        </is>
      </c>
      <c r="D47" s="8" t="inlineStr">
        <is>
          <t>No one</t>
        </is>
      </c>
      <c r="E47" s="8" t="n">
        <v>3850.3</v>
      </c>
      <c r="F47" s="20" t="n">
        <v>0.7292234848484849</v>
      </c>
      <c r="G47" s="8" t="n">
        <v>27</v>
      </c>
      <c r="H47" s="21" t="n">
        <v>103958.1</v>
      </c>
      <c r="I47" s="21" t="n"/>
      <c r="J47" s="21">
        <f>H47+IF(I47="",0,I47)</f>
        <v/>
      </c>
      <c r="K47" s="22" t="n">
        <v>65.31</v>
      </c>
      <c r="L47" s="8" t="inlineStr">
        <is>
          <t>Measured</t>
        </is>
      </c>
      <c r="M47" s="22">
        <f>MAX(0,$K47-Assumptions!$B$12*5)</f>
        <v/>
      </c>
      <c r="N47" s="22">
        <f>MAX(0,$K47-Assumptions!$B$12*10)</f>
        <v/>
      </c>
      <c r="O47" s="22">
        <f>MAX(0,$K47-Assumptions!$B$12*16)</f>
        <v/>
      </c>
      <c r="P47" s="8">
        <f>VLOOKUP($K47,Assumptions!$A$21:$B$24,2)</f>
        <v/>
      </c>
      <c r="Q47" s="8">
        <f>VLOOKUP($M47,Assumptions!$A$21:$B$24,2)</f>
        <v/>
      </c>
      <c r="R47" s="8">
        <f>VLOOKUP($N47,Assumptions!$A$21:$B$24,2)</f>
        <v/>
      </c>
      <c r="S47" s="8">
        <f>VLOOKUP($O47,Assumptions!$A$21:$B$24,2)</f>
        <v/>
      </c>
      <c r="T47" s="21">
        <f>$J47*VLOOKUP($K47,Assumptions!$A$21:$C$24,3)</f>
        <v/>
      </c>
      <c r="U47" s="21">
        <f>$J47*VLOOKUP($M47,Assumptions!$A$21:$C$24,3)</f>
        <v/>
      </c>
      <c r="V47" s="21">
        <f>$J47*VLOOKUP($N47,Assumptions!$A$21:$C$24,3)</f>
        <v/>
      </c>
      <c r="W47" s="21">
        <f>$J47*VLOOKUP($O47,Assumptions!$A$21:$C$24,3)</f>
        <v/>
      </c>
    </row>
    <row r="48">
      <c r="A48" s="8" t="inlineStr">
        <is>
          <t>LEGEND RIDGE</t>
        </is>
      </c>
      <c r="B48" s="8" t="inlineStr">
        <is>
          <t>TRL</t>
        </is>
      </c>
      <c r="C48" s="8" t="inlineStr">
        <is>
          <t>Legend Ridge</t>
        </is>
      </c>
      <c r="D48" s="8" t="inlineStr">
        <is>
          <t>No one</t>
        </is>
      </c>
      <c r="E48" s="8" t="n">
        <v>460.8</v>
      </c>
      <c r="F48" s="20" t="n">
        <v>0.08727272727272728</v>
      </c>
      <c r="G48" s="8" t="n">
        <v>27</v>
      </c>
      <c r="H48" s="21" t="n">
        <v>12441.6</v>
      </c>
      <c r="I48" s="21" t="n"/>
      <c r="J48" s="21">
        <f>H48+IF(I48="",0,I48)</f>
        <v/>
      </c>
      <c r="K48" s="22" t="n">
        <v>72.03</v>
      </c>
      <c r="L48" s="8" t="inlineStr">
        <is>
          <t>Measured</t>
        </is>
      </c>
      <c r="M48" s="22">
        <f>MAX(0,$K48-Assumptions!$B$12*5)</f>
        <v/>
      </c>
      <c r="N48" s="22">
        <f>MAX(0,$K48-Assumptions!$B$12*10)</f>
        <v/>
      </c>
      <c r="O48" s="22">
        <f>MAX(0,$K48-Assumptions!$B$12*16)</f>
        <v/>
      </c>
      <c r="P48" s="8">
        <f>VLOOKUP($K48,Assumptions!$A$21:$B$24,2)</f>
        <v/>
      </c>
      <c r="Q48" s="8">
        <f>VLOOKUP($M48,Assumptions!$A$21:$B$24,2)</f>
        <v/>
      </c>
      <c r="R48" s="8">
        <f>VLOOKUP($N48,Assumptions!$A$21:$B$24,2)</f>
        <v/>
      </c>
      <c r="S48" s="8">
        <f>VLOOKUP($O48,Assumptions!$A$21:$B$24,2)</f>
        <v/>
      </c>
      <c r="T48" s="21">
        <f>$J48*VLOOKUP($K48,Assumptions!$A$21:$C$24,3)</f>
        <v/>
      </c>
      <c r="U48" s="21">
        <f>$J48*VLOOKUP($M48,Assumptions!$A$21:$C$24,3)</f>
        <v/>
      </c>
      <c r="V48" s="21">
        <f>$J48*VLOOKUP($N48,Assumptions!$A$21:$C$24,3)</f>
        <v/>
      </c>
      <c r="W48" s="21">
        <f>$J48*VLOOKUP($O48,Assumptions!$A$21:$C$24,3)</f>
        <v/>
      </c>
    </row>
    <row r="49">
      <c r="A49" s="8" t="inlineStr">
        <is>
          <t>LITTLE RAVEN</t>
        </is>
      </c>
      <c r="B49" s="8" t="inlineStr">
        <is>
          <t>TRL</t>
        </is>
      </c>
      <c r="C49" s="8" t="inlineStr">
        <is>
          <t>Legend Ridge</t>
        </is>
      </c>
      <c r="D49" s="8" t="inlineStr">
        <is>
          <t>No one</t>
        </is>
      </c>
      <c r="E49" s="8" t="n">
        <v>1413.1</v>
      </c>
      <c r="F49" s="20" t="n">
        <v>0.2676325757575758</v>
      </c>
      <c r="G49" s="8" t="n">
        <v>27</v>
      </c>
      <c r="H49" s="21" t="n">
        <v>38153.7</v>
      </c>
      <c r="I49" s="21" t="n"/>
      <c r="J49" s="21">
        <f>H49+IF(I49="",0,I49)</f>
        <v/>
      </c>
      <c r="K49" s="22" t="n">
        <v>73.04000000000001</v>
      </c>
      <c r="L49" s="8" t="inlineStr">
        <is>
          <t>Measured</t>
        </is>
      </c>
      <c r="M49" s="22">
        <f>MAX(0,$K49-Assumptions!$B$12*5)</f>
        <v/>
      </c>
      <c r="N49" s="22">
        <f>MAX(0,$K49-Assumptions!$B$12*10)</f>
        <v/>
      </c>
      <c r="O49" s="22">
        <f>MAX(0,$K49-Assumptions!$B$12*16)</f>
        <v/>
      </c>
      <c r="P49" s="8">
        <f>VLOOKUP($K49,Assumptions!$A$21:$B$24,2)</f>
        <v/>
      </c>
      <c r="Q49" s="8">
        <f>VLOOKUP($M49,Assumptions!$A$21:$B$24,2)</f>
        <v/>
      </c>
      <c r="R49" s="8">
        <f>VLOOKUP($N49,Assumptions!$A$21:$B$24,2)</f>
        <v/>
      </c>
      <c r="S49" s="8">
        <f>VLOOKUP($O49,Assumptions!$A$21:$B$24,2)</f>
        <v/>
      </c>
      <c r="T49" s="21">
        <f>$J49*VLOOKUP($K49,Assumptions!$A$21:$C$24,3)</f>
        <v/>
      </c>
      <c r="U49" s="21">
        <f>$J49*VLOOKUP($M49,Assumptions!$A$21:$C$24,3)</f>
        <v/>
      </c>
      <c r="V49" s="21">
        <f>$J49*VLOOKUP($N49,Assumptions!$A$21:$C$24,3)</f>
        <v/>
      </c>
      <c r="W49" s="21">
        <f>$J49*VLOOKUP($O49,Assumptions!$A$21:$C$24,3)</f>
        <v/>
      </c>
    </row>
    <row r="50">
      <c r="A50" s="8" t="inlineStr">
        <is>
          <t>PEBBLE</t>
        </is>
      </c>
      <c r="B50" s="8" t="inlineStr">
        <is>
          <t>CT</t>
        </is>
      </c>
      <c r="C50" s="8" t="inlineStr">
        <is>
          <t>Meadowdale</t>
        </is>
      </c>
      <c r="D50" s="8" t="inlineStr">
        <is>
          <t>No one</t>
        </is>
      </c>
      <c r="E50" s="8" t="n">
        <v>498.3</v>
      </c>
      <c r="F50" s="20" t="n">
        <v>0.094375</v>
      </c>
      <c r="G50" s="8" t="n">
        <v>24</v>
      </c>
      <c r="H50" s="21" t="n">
        <v>11959.2</v>
      </c>
      <c r="I50" s="21" t="n">
        <v>2500</v>
      </c>
      <c r="J50" s="21">
        <f>H50+IF(I50="",0,I50)</f>
        <v/>
      </c>
      <c r="K50" s="22" t="n">
        <v>22.05</v>
      </c>
      <c r="L50" s="8" t="inlineStr">
        <is>
          <t>Measured</t>
        </is>
      </c>
      <c r="M50" s="22">
        <f>MAX(0,$K50-Assumptions!$B$12*5)</f>
        <v/>
      </c>
      <c r="N50" s="22">
        <f>MAX(0,$K50-Assumptions!$B$12*10)</f>
        <v/>
      </c>
      <c r="O50" s="22">
        <f>MAX(0,$K50-Assumptions!$B$12*16)</f>
        <v/>
      </c>
      <c r="P50" s="8">
        <f>VLOOKUP($K50,Assumptions!$A$21:$B$24,2)</f>
        <v/>
      </c>
      <c r="Q50" s="8">
        <f>VLOOKUP($M50,Assumptions!$A$21:$B$24,2)</f>
        <v/>
      </c>
      <c r="R50" s="8">
        <f>VLOOKUP($N50,Assumptions!$A$21:$B$24,2)</f>
        <v/>
      </c>
      <c r="S50" s="8">
        <f>VLOOKUP($O50,Assumptions!$A$21:$B$24,2)</f>
        <v/>
      </c>
      <c r="T50" s="21">
        <f>$J50*VLOOKUP($K50,Assumptions!$A$21:$C$24,3)</f>
        <v/>
      </c>
      <c r="U50" s="21">
        <f>$J50*VLOOKUP($M50,Assumptions!$A$21:$C$24,3)</f>
        <v/>
      </c>
      <c r="V50" s="21">
        <f>$J50*VLOOKUP($N50,Assumptions!$A$21:$C$24,3)</f>
        <v/>
      </c>
      <c r="W50" s="21">
        <f>$J50*VLOOKUP($O50,Assumptions!$A$21:$C$24,3)</f>
        <v/>
      </c>
    </row>
    <row r="51">
      <c r="A51" s="8" t="inlineStr">
        <is>
          <t>PEBBLE</t>
        </is>
      </c>
      <c r="B51" s="8" t="inlineStr">
        <is>
          <t>RD</t>
        </is>
      </c>
      <c r="C51" s="8" t="inlineStr">
        <is>
          <t>Meadowdale</t>
        </is>
      </c>
      <c r="D51" s="8" t="inlineStr">
        <is>
          <t>No one</t>
        </is>
      </c>
      <c r="E51" s="8" t="n">
        <v>898.8</v>
      </c>
      <c r="F51" s="20" t="n">
        <v>0.1702272727272727</v>
      </c>
      <c r="G51" s="8" t="n">
        <v>24</v>
      </c>
      <c r="H51" s="21" t="n">
        <v>21571.2</v>
      </c>
      <c r="I51" s="21" t="n">
        <v>2500</v>
      </c>
      <c r="J51" s="21">
        <f>H51+IF(I51="",0,I51)</f>
        <v/>
      </c>
      <c r="K51" s="22" t="n">
        <v>30.07</v>
      </c>
      <c r="L51" s="8" t="inlineStr">
        <is>
          <t>Measured</t>
        </is>
      </c>
      <c r="M51" s="22">
        <f>MAX(0,$K51-Assumptions!$B$12*5)</f>
        <v/>
      </c>
      <c r="N51" s="22">
        <f>MAX(0,$K51-Assumptions!$B$12*10)</f>
        <v/>
      </c>
      <c r="O51" s="22">
        <f>MAX(0,$K51-Assumptions!$B$12*16)</f>
        <v/>
      </c>
      <c r="P51" s="8">
        <f>VLOOKUP($K51,Assumptions!$A$21:$B$24,2)</f>
        <v/>
      </c>
      <c r="Q51" s="8">
        <f>VLOOKUP($M51,Assumptions!$A$21:$B$24,2)</f>
        <v/>
      </c>
      <c r="R51" s="8">
        <f>VLOOKUP($N51,Assumptions!$A$21:$B$24,2)</f>
        <v/>
      </c>
      <c r="S51" s="8">
        <f>VLOOKUP($O51,Assumptions!$A$21:$B$24,2)</f>
        <v/>
      </c>
      <c r="T51" s="21">
        <f>$J51*VLOOKUP($K51,Assumptions!$A$21:$C$24,3)</f>
        <v/>
      </c>
      <c r="U51" s="21">
        <f>$J51*VLOOKUP($M51,Assumptions!$A$21:$C$24,3)</f>
        <v/>
      </c>
      <c r="V51" s="21">
        <f>$J51*VLOOKUP($N51,Assumptions!$A$21:$C$24,3)</f>
        <v/>
      </c>
      <c r="W51" s="21">
        <f>$J51*VLOOKUP($O51,Assumptions!$A$21:$C$24,3)</f>
        <v/>
      </c>
    </row>
    <row r="52">
      <c r="A52" s="8" t="inlineStr">
        <is>
          <t>MEADOWDALE</t>
        </is>
      </c>
      <c r="B52" s="8" t="inlineStr">
        <is>
          <t>CT</t>
        </is>
      </c>
      <c r="C52" s="8" t="inlineStr">
        <is>
          <t>Meadowdale</t>
        </is>
      </c>
      <c r="D52" s="8" t="inlineStr">
        <is>
          <t>No one</t>
        </is>
      </c>
      <c r="E52" s="8" t="n">
        <v>375.9</v>
      </c>
      <c r="F52" s="20" t="n">
        <v>0.07119318181818181</v>
      </c>
      <c r="G52" s="8" t="n">
        <v>24</v>
      </c>
      <c r="H52" s="21" t="n">
        <v>9021.599999999999</v>
      </c>
      <c r="I52" s="21" t="n">
        <v>2500</v>
      </c>
      <c r="J52" s="21">
        <f>H52+IF(I52="",0,I52)</f>
        <v/>
      </c>
      <c r="K52" s="22" t="n">
        <v>22.32</v>
      </c>
      <c r="L52" s="8" t="inlineStr">
        <is>
          <t>Measured</t>
        </is>
      </c>
      <c r="M52" s="22">
        <f>MAX(0,$K52-Assumptions!$B$12*5)</f>
        <v/>
      </c>
      <c r="N52" s="22">
        <f>MAX(0,$K52-Assumptions!$B$12*10)</f>
        <v/>
      </c>
      <c r="O52" s="22">
        <f>MAX(0,$K52-Assumptions!$B$12*16)</f>
        <v/>
      </c>
      <c r="P52" s="8">
        <f>VLOOKUP($K52,Assumptions!$A$21:$B$24,2)</f>
        <v/>
      </c>
      <c r="Q52" s="8">
        <f>VLOOKUP($M52,Assumptions!$A$21:$B$24,2)</f>
        <v/>
      </c>
      <c r="R52" s="8">
        <f>VLOOKUP($N52,Assumptions!$A$21:$B$24,2)</f>
        <v/>
      </c>
      <c r="S52" s="8">
        <f>VLOOKUP($O52,Assumptions!$A$21:$B$24,2)</f>
        <v/>
      </c>
      <c r="T52" s="21">
        <f>$J52*VLOOKUP($K52,Assumptions!$A$21:$C$24,3)</f>
        <v/>
      </c>
      <c r="U52" s="21">
        <f>$J52*VLOOKUP($M52,Assumptions!$A$21:$C$24,3)</f>
        <v/>
      </c>
      <c r="V52" s="21">
        <f>$J52*VLOOKUP($N52,Assumptions!$A$21:$C$24,3)</f>
        <v/>
      </c>
      <c r="W52" s="21">
        <f>$J52*VLOOKUP($O52,Assumptions!$A$21:$C$24,3)</f>
        <v/>
      </c>
    </row>
    <row r="53">
      <c r="A53" s="8" t="inlineStr">
        <is>
          <t>MEADOWDALE</t>
        </is>
      </c>
      <c r="B53" s="8" t="inlineStr">
        <is>
          <t>DR</t>
        </is>
      </c>
      <c r="C53" s="8" t="inlineStr">
        <is>
          <t>Meadowdale / Johnson Farm</t>
        </is>
      </c>
      <c r="D53" s="8" t="inlineStr">
        <is>
          <t>No one</t>
        </is>
      </c>
      <c r="E53" s="8" t="n">
        <v>1116.6</v>
      </c>
      <c r="F53" s="20" t="n">
        <v>0.2114772727272727</v>
      </c>
      <c r="G53" s="8" t="n">
        <v>26</v>
      </c>
      <c r="H53" s="21" t="n">
        <v>29031.6</v>
      </c>
      <c r="I53" s="21" t="n"/>
      <c r="J53" s="21">
        <f>H53+IF(I53="",0,I53)</f>
        <v/>
      </c>
      <c r="K53" s="22" t="n">
        <v>15.05</v>
      </c>
      <c r="L53" s="8" t="inlineStr">
        <is>
          <t>Measured</t>
        </is>
      </c>
      <c r="M53" s="22">
        <f>MAX(0,$K53-Assumptions!$B$12*5)</f>
        <v/>
      </c>
      <c r="N53" s="22">
        <f>MAX(0,$K53-Assumptions!$B$12*10)</f>
        <v/>
      </c>
      <c r="O53" s="22">
        <f>MAX(0,$K53-Assumptions!$B$12*16)</f>
        <v/>
      </c>
      <c r="P53" s="8">
        <f>VLOOKUP($K53,Assumptions!$A$21:$B$24,2)</f>
        <v/>
      </c>
      <c r="Q53" s="8">
        <f>VLOOKUP($M53,Assumptions!$A$21:$B$24,2)</f>
        <v/>
      </c>
      <c r="R53" s="8">
        <f>VLOOKUP($N53,Assumptions!$A$21:$B$24,2)</f>
        <v/>
      </c>
      <c r="S53" s="8">
        <f>VLOOKUP($O53,Assumptions!$A$21:$B$24,2)</f>
        <v/>
      </c>
      <c r="T53" s="21">
        <f>$J53*VLOOKUP($K53,Assumptions!$A$21:$C$24,3)</f>
        <v/>
      </c>
      <c r="U53" s="21">
        <f>$J53*VLOOKUP($M53,Assumptions!$A$21:$C$24,3)</f>
        <v/>
      </c>
      <c r="V53" s="21">
        <f>$J53*VLOOKUP($N53,Assumptions!$A$21:$C$24,3)</f>
        <v/>
      </c>
      <c r="W53" s="21">
        <f>$J53*VLOOKUP($O53,Assumptions!$A$21:$C$24,3)</f>
        <v/>
      </c>
    </row>
    <row r="54">
      <c r="A54" s="8" t="inlineStr">
        <is>
          <t>MEADOWDALE</t>
        </is>
      </c>
      <c r="B54" s="8" t="inlineStr">
        <is>
          <t>DR</t>
        </is>
      </c>
      <c r="C54" s="8" t="inlineStr">
        <is>
          <t>Meadowdale / Johnson Farm</t>
        </is>
      </c>
      <c r="D54" s="8" t="inlineStr">
        <is>
          <t>No one</t>
        </is>
      </c>
      <c r="E54" s="8" t="n">
        <v>281.2</v>
      </c>
      <c r="F54" s="20" t="n">
        <v>0.05325757575757575</v>
      </c>
      <c r="G54" s="8" t="n">
        <v>26</v>
      </c>
      <c r="H54" s="21" t="n">
        <v>7311.2</v>
      </c>
      <c r="I54" s="21" t="n"/>
      <c r="J54" s="21">
        <f>H54+IF(I54="",0,I54)</f>
        <v/>
      </c>
      <c r="K54" s="22" t="n">
        <v>27.09</v>
      </c>
      <c r="L54" s="8" t="inlineStr">
        <is>
          <t>Measured</t>
        </is>
      </c>
      <c r="M54" s="22">
        <f>MAX(0,$K54-Assumptions!$B$12*5)</f>
        <v/>
      </c>
      <c r="N54" s="22">
        <f>MAX(0,$K54-Assumptions!$B$12*10)</f>
        <v/>
      </c>
      <c r="O54" s="22">
        <f>MAX(0,$K54-Assumptions!$B$12*16)</f>
        <v/>
      </c>
      <c r="P54" s="8">
        <f>VLOOKUP($K54,Assumptions!$A$21:$B$24,2)</f>
        <v/>
      </c>
      <c r="Q54" s="8">
        <f>VLOOKUP($M54,Assumptions!$A$21:$B$24,2)</f>
        <v/>
      </c>
      <c r="R54" s="8">
        <f>VLOOKUP($N54,Assumptions!$A$21:$B$24,2)</f>
        <v/>
      </c>
      <c r="S54" s="8">
        <f>VLOOKUP($O54,Assumptions!$A$21:$B$24,2)</f>
        <v/>
      </c>
      <c r="T54" s="21">
        <f>$J54*VLOOKUP($K54,Assumptions!$A$21:$C$24,3)</f>
        <v/>
      </c>
      <c r="U54" s="21">
        <f>$J54*VLOOKUP($M54,Assumptions!$A$21:$C$24,3)</f>
        <v/>
      </c>
      <c r="V54" s="21">
        <f>$J54*VLOOKUP($N54,Assumptions!$A$21:$C$24,3)</f>
        <v/>
      </c>
      <c r="W54" s="21">
        <f>$J54*VLOOKUP($O54,Assumptions!$A$21:$C$24,3)</f>
        <v/>
      </c>
    </row>
    <row r="55">
      <c r="A55" s="8" t="inlineStr">
        <is>
          <t>MEADOWDALE</t>
        </is>
      </c>
      <c r="B55" s="8" t="inlineStr">
        <is>
          <t>DR</t>
        </is>
      </c>
      <c r="C55" s="8" t="inlineStr">
        <is>
          <t>Meadowdale / Johnson Farm</t>
        </is>
      </c>
      <c r="D55" s="8" t="inlineStr">
        <is>
          <t>No one</t>
        </is>
      </c>
      <c r="E55" s="8" t="n">
        <v>1313.3</v>
      </c>
      <c r="F55" s="20" t="n">
        <v>0.2487310606060606</v>
      </c>
      <c r="G55" s="8" t="n">
        <v>38</v>
      </c>
      <c r="H55" s="21" t="n">
        <v>49905.4</v>
      </c>
      <c r="I55" s="21" t="n"/>
      <c r="J55" s="21">
        <f>H55+IF(I55="",0,I55)</f>
        <v/>
      </c>
      <c r="K55" s="22" t="n">
        <v>28.66</v>
      </c>
      <c r="L55" s="8" t="inlineStr">
        <is>
          <t>Measured</t>
        </is>
      </c>
      <c r="M55" s="22">
        <f>MAX(0,$K55-Assumptions!$B$12*5)</f>
        <v/>
      </c>
      <c r="N55" s="22">
        <f>MAX(0,$K55-Assumptions!$B$12*10)</f>
        <v/>
      </c>
      <c r="O55" s="22">
        <f>MAX(0,$K55-Assumptions!$B$12*16)</f>
        <v/>
      </c>
      <c r="P55" s="8">
        <f>VLOOKUP($K55,Assumptions!$A$21:$B$24,2)</f>
        <v/>
      </c>
      <c r="Q55" s="8">
        <f>VLOOKUP($M55,Assumptions!$A$21:$B$24,2)</f>
        <v/>
      </c>
      <c r="R55" s="8">
        <f>VLOOKUP($N55,Assumptions!$A$21:$B$24,2)</f>
        <v/>
      </c>
      <c r="S55" s="8">
        <f>VLOOKUP($O55,Assumptions!$A$21:$B$24,2)</f>
        <v/>
      </c>
      <c r="T55" s="21">
        <f>$J55*VLOOKUP($K55,Assumptions!$A$21:$C$24,3)</f>
        <v/>
      </c>
      <c r="U55" s="21">
        <f>$J55*VLOOKUP($M55,Assumptions!$A$21:$C$24,3)</f>
        <v/>
      </c>
      <c r="V55" s="21">
        <f>$J55*VLOOKUP($N55,Assumptions!$A$21:$C$24,3)</f>
        <v/>
      </c>
      <c r="W55" s="21">
        <f>$J55*VLOOKUP($O55,Assumptions!$A$21:$C$24,3)</f>
        <v/>
      </c>
    </row>
    <row r="56">
      <c r="A56" s="8" t="inlineStr">
        <is>
          <t>MEADOWDALE</t>
        </is>
      </c>
      <c r="B56" s="8" t="inlineStr">
        <is>
          <t>DR</t>
        </is>
      </c>
      <c r="C56" s="8" t="inlineStr">
        <is>
          <t>Meadowdale / Johnson Farm</t>
        </is>
      </c>
      <c r="D56" s="8" t="inlineStr">
        <is>
          <t>No one</t>
        </is>
      </c>
      <c r="E56" s="8" t="n">
        <v>280.9</v>
      </c>
      <c r="F56" s="20" t="n">
        <v>0.05320075757575757</v>
      </c>
      <c r="G56" s="8" t="n">
        <v>38</v>
      </c>
      <c r="H56" s="21" t="n">
        <v>10674.2</v>
      </c>
      <c r="I56" s="21" t="n"/>
      <c r="J56" s="21">
        <f>H56+IF(I56="",0,I56)</f>
        <v/>
      </c>
      <c r="K56" s="22" t="n">
        <v>40.76</v>
      </c>
      <c r="L56" s="8" t="inlineStr">
        <is>
          <t>Measured</t>
        </is>
      </c>
      <c r="M56" s="22">
        <f>MAX(0,$K56-Assumptions!$B$12*5)</f>
        <v/>
      </c>
      <c r="N56" s="22">
        <f>MAX(0,$K56-Assumptions!$B$12*10)</f>
        <v/>
      </c>
      <c r="O56" s="22">
        <f>MAX(0,$K56-Assumptions!$B$12*16)</f>
        <v/>
      </c>
      <c r="P56" s="8">
        <f>VLOOKUP($K56,Assumptions!$A$21:$B$24,2)</f>
        <v/>
      </c>
      <c r="Q56" s="8">
        <f>VLOOKUP($M56,Assumptions!$A$21:$B$24,2)</f>
        <v/>
      </c>
      <c r="R56" s="8">
        <f>VLOOKUP($N56,Assumptions!$A$21:$B$24,2)</f>
        <v/>
      </c>
      <c r="S56" s="8">
        <f>VLOOKUP($O56,Assumptions!$A$21:$B$24,2)</f>
        <v/>
      </c>
      <c r="T56" s="21">
        <f>$J56*VLOOKUP($K56,Assumptions!$A$21:$C$24,3)</f>
        <v/>
      </c>
      <c r="U56" s="21">
        <f>$J56*VLOOKUP($M56,Assumptions!$A$21:$C$24,3)</f>
        <v/>
      </c>
      <c r="V56" s="21">
        <f>$J56*VLOOKUP($N56,Assumptions!$A$21:$C$24,3)</f>
        <v/>
      </c>
      <c r="W56" s="21">
        <f>$J56*VLOOKUP($O56,Assumptions!$A$21:$C$24,3)</f>
        <v/>
      </c>
    </row>
    <row r="57">
      <c r="A57" s="8" t="inlineStr">
        <is>
          <t>MONARCH PARK</t>
        </is>
      </c>
      <c r="B57" s="8" t="inlineStr">
        <is>
          <t>CT</t>
        </is>
      </c>
      <c r="C57" s="8" t="inlineStr">
        <is>
          <t>Monarch Park</t>
        </is>
      </c>
      <c r="D57" s="8" t="inlineStr">
        <is>
          <t>No one</t>
        </is>
      </c>
      <c r="E57" s="8" t="n">
        <v>1076.9</v>
      </c>
      <c r="F57" s="20" t="n">
        <v>0.2039583333333334</v>
      </c>
      <c r="G57" s="8" t="n">
        <v>33</v>
      </c>
      <c r="H57" s="21" t="n">
        <v>35537.7</v>
      </c>
      <c r="I57" s="21" t="n">
        <v>2500</v>
      </c>
      <c r="J57" s="21">
        <f>H57+IF(I57="",0,I57)</f>
        <v/>
      </c>
      <c r="K57" s="22" t="n">
        <v>14.82</v>
      </c>
      <c r="L57" s="8" t="inlineStr">
        <is>
          <t>Measured</t>
        </is>
      </c>
      <c r="M57" s="22">
        <f>MAX(0,$K57-Assumptions!$B$12*5)</f>
        <v/>
      </c>
      <c r="N57" s="22">
        <f>MAX(0,$K57-Assumptions!$B$12*10)</f>
        <v/>
      </c>
      <c r="O57" s="22">
        <f>MAX(0,$K57-Assumptions!$B$12*16)</f>
        <v/>
      </c>
      <c r="P57" s="8">
        <f>VLOOKUP($K57,Assumptions!$A$21:$B$24,2)</f>
        <v/>
      </c>
      <c r="Q57" s="8">
        <f>VLOOKUP($M57,Assumptions!$A$21:$B$24,2)</f>
        <v/>
      </c>
      <c r="R57" s="8">
        <f>VLOOKUP($N57,Assumptions!$A$21:$B$24,2)</f>
        <v/>
      </c>
      <c r="S57" s="8">
        <f>VLOOKUP($O57,Assumptions!$A$21:$B$24,2)</f>
        <v/>
      </c>
      <c r="T57" s="21">
        <f>$J57*VLOOKUP($K57,Assumptions!$A$21:$C$24,3)</f>
        <v/>
      </c>
      <c r="U57" s="21">
        <f>$J57*VLOOKUP($M57,Assumptions!$A$21:$C$24,3)</f>
        <v/>
      </c>
      <c r="V57" s="21">
        <f>$J57*VLOOKUP($N57,Assumptions!$A$21:$C$24,3)</f>
        <v/>
      </c>
      <c r="W57" s="21">
        <f>$J57*VLOOKUP($O57,Assumptions!$A$21:$C$24,3)</f>
        <v/>
      </c>
    </row>
    <row r="58">
      <c r="A58" s="8" t="inlineStr">
        <is>
          <t>MONARCH PARK</t>
        </is>
      </c>
      <c r="B58" s="8" t="inlineStr">
        <is>
          <t>CT</t>
        </is>
      </c>
      <c r="C58" s="8" t="inlineStr">
        <is>
          <t>Monarch Park</t>
        </is>
      </c>
      <c r="D58" s="8" t="inlineStr">
        <is>
          <t>No one</t>
        </is>
      </c>
      <c r="E58" s="8" t="n">
        <v>352.3</v>
      </c>
      <c r="F58" s="20" t="n">
        <v>0.06672348484848485</v>
      </c>
      <c r="G58" s="8" t="n">
        <v>35</v>
      </c>
      <c r="H58" s="21" t="n">
        <v>12330.5</v>
      </c>
      <c r="I58" s="21" t="n">
        <v>2500</v>
      </c>
      <c r="J58" s="21">
        <f>H58+IF(I58="",0,I58)</f>
        <v/>
      </c>
      <c r="K58" s="22" t="n">
        <v>61.92</v>
      </c>
      <c r="L58" s="8" t="inlineStr">
        <is>
          <t>Measured</t>
        </is>
      </c>
      <c r="M58" s="22">
        <f>MAX(0,$K58-Assumptions!$B$12*5)</f>
        <v/>
      </c>
      <c r="N58" s="22">
        <f>MAX(0,$K58-Assumptions!$B$12*10)</f>
        <v/>
      </c>
      <c r="O58" s="22">
        <f>MAX(0,$K58-Assumptions!$B$12*16)</f>
        <v/>
      </c>
      <c r="P58" s="8">
        <f>VLOOKUP($K58,Assumptions!$A$21:$B$24,2)</f>
        <v/>
      </c>
      <c r="Q58" s="8">
        <f>VLOOKUP($M58,Assumptions!$A$21:$B$24,2)</f>
        <v/>
      </c>
      <c r="R58" s="8">
        <f>VLOOKUP($N58,Assumptions!$A$21:$B$24,2)</f>
        <v/>
      </c>
      <c r="S58" s="8">
        <f>VLOOKUP($O58,Assumptions!$A$21:$B$24,2)</f>
        <v/>
      </c>
      <c r="T58" s="21">
        <f>$J58*VLOOKUP($K58,Assumptions!$A$21:$C$24,3)</f>
        <v/>
      </c>
      <c r="U58" s="21">
        <f>$J58*VLOOKUP($M58,Assumptions!$A$21:$C$24,3)</f>
        <v/>
      </c>
      <c r="V58" s="21">
        <f>$J58*VLOOKUP($N58,Assumptions!$A$21:$C$24,3)</f>
        <v/>
      </c>
      <c r="W58" s="21">
        <f>$J58*VLOOKUP($O58,Assumptions!$A$21:$C$24,3)</f>
        <v/>
      </c>
    </row>
    <row r="59">
      <c r="A59" s="8" t="inlineStr">
        <is>
          <t>APACHE</t>
        </is>
      </c>
      <c r="B59" s="8" t="inlineStr">
        <is>
          <t>CT</t>
        </is>
      </c>
      <c r="C59" s="8" t="inlineStr">
        <is>
          <t>Morton Heights</t>
        </is>
      </c>
      <c r="D59" s="8" t="inlineStr">
        <is>
          <t>No one</t>
        </is>
      </c>
      <c r="E59" s="8" t="n">
        <v>484.6</v>
      </c>
      <c r="F59" s="20" t="n">
        <v>0.09178030303030303</v>
      </c>
      <c r="G59" s="8" t="n">
        <v>24</v>
      </c>
      <c r="H59" s="21" t="n">
        <v>11630.4</v>
      </c>
      <c r="I59" s="21" t="n">
        <v>2500</v>
      </c>
      <c r="J59" s="21">
        <f>H59+IF(I59="",0,I59)</f>
        <v/>
      </c>
      <c r="K59" s="22" t="n">
        <v>59.87</v>
      </c>
      <c r="L59" s="8" t="inlineStr">
        <is>
          <t>Measured</t>
        </is>
      </c>
      <c r="M59" s="22">
        <f>MAX(0,$K59-Assumptions!$B$12*5)</f>
        <v/>
      </c>
      <c r="N59" s="22">
        <f>MAX(0,$K59-Assumptions!$B$12*10)</f>
        <v/>
      </c>
      <c r="O59" s="22">
        <f>MAX(0,$K59-Assumptions!$B$12*16)</f>
        <v/>
      </c>
      <c r="P59" s="8">
        <f>VLOOKUP($K59,Assumptions!$A$21:$B$24,2)</f>
        <v/>
      </c>
      <c r="Q59" s="8">
        <f>VLOOKUP($M59,Assumptions!$A$21:$B$24,2)</f>
        <v/>
      </c>
      <c r="R59" s="8">
        <f>VLOOKUP($N59,Assumptions!$A$21:$B$24,2)</f>
        <v/>
      </c>
      <c r="S59" s="8">
        <f>VLOOKUP($O59,Assumptions!$A$21:$B$24,2)</f>
        <v/>
      </c>
      <c r="T59" s="21">
        <f>$J59*VLOOKUP($K59,Assumptions!$A$21:$C$24,3)</f>
        <v/>
      </c>
      <c r="U59" s="21">
        <f>$J59*VLOOKUP($M59,Assumptions!$A$21:$C$24,3)</f>
        <v/>
      </c>
      <c r="V59" s="21">
        <f>$J59*VLOOKUP($N59,Assumptions!$A$21:$C$24,3)</f>
        <v/>
      </c>
      <c r="W59" s="21">
        <f>$J59*VLOOKUP($O59,Assumptions!$A$21:$C$24,3)</f>
        <v/>
      </c>
    </row>
    <row r="60">
      <c r="A60" s="8" t="inlineStr">
        <is>
          <t>AUDUBON</t>
        </is>
      </c>
      <c r="B60" s="8" t="inlineStr">
        <is>
          <t>AVE</t>
        </is>
      </c>
      <c r="C60" s="8" t="inlineStr">
        <is>
          <t>Morton Heights</t>
        </is>
      </c>
      <c r="D60" s="8" t="inlineStr">
        <is>
          <t>No one</t>
        </is>
      </c>
      <c r="E60" s="8" t="n">
        <v>530.8</v>
      </c>
      <c r="F60" s="20" t="n">
        <v>0.100530303030303</v>
      </c>
      <c r="G60" s="8" t="n">
        <v>29</v>
      </c>
      <c r="H60" s="21" t="n">
        <v>15393.2</v>
      </c>
      <c r="I60" s="21" t="n"/>
      <c r="J60" s="21">
        <f>H60+IF(I60="",0,I60)</f>
        <v/>
      </c>
      <c r="K60" s="22" t="n">
        <v>43.02</v>
      </c>
      <c r="L60" s="8" t="inlineStr">
        <is>
          <t>Measured</t>
        </is>
      </c>
      <c r="M60" s="22">
        <f>MAX(0,$K60-Assumptions!$B$12*5)</f>
        <v/>
      </c>
      <c r="N60" s="22">
        <f>MAX(0,$K60-Assumptions!$B$12*10)</f>
        <v/>
      </c>
      <c r="O60" s="22">
        <f>MAX(0,$K60-Assumptions!$B$12*16)</f>
        <v/>
      </c>
      <c r="P60" s="8">
        <f>VLOOKUP($K60,Assumptions!$A$21:$B$24,2)</f>
        <v/>
      </c>
      <c r="Q60" s="8">
        <f>VLOOKUP($M60,Assumptions!$A$21:$B$24,2)</f>
        <v/>
      </c>
      <c r="R60" s="8">
        <f>VLOOKUP($N60,Assumptions!$A$21:$B$24,2)</f>
        <v/>
      </c>
      <c r="S60" s="8">
        <f>VLOOKUP($O60,Assumptions!$A$21:$B$24,2)</f>
        <v/>
      </c>
      <c r="T60" s="21">
        <f>$J60*VLOOKUP($K60,Assumptions!$A$21:$C$24,3)</f>
        <v/>
      </c>
      <c r="U60" s="21">
        <f>$J60*VLOOKUP($M60,Assumptions!$A$21:$C$24,3)</f>
        <v/>
      </c>
      <c r="V60" s="21">
        <f>$J60*VLOOKUP($N60,Assumptions!$A$21:$C$24,3)</f>
        <v/>
      </c>
      <c r="W60" s="21">
        <f>$J60*VLOOKUP($O60,Assumptions!$A$21:$C$24,3)</f>
        <v/>
      </c>
    </row>
    <row r="61">
      <c r="A61" s="8" t="inlineStr">
        <is>
          <t>AUDUBON</t>
        </is>
      </c>
      <c r="B61" s="8" t="inlineStr">
        <is>
          <t>AVE</t>
        </is>
      </c>
      <c r="C61" s="8" t="inlineStr">
        <is>
          <t>Morton Heights</t>
        </is>
      </c>
      <c r="D61" s="8" t="inlineStr">
        <is>
          <t>No one</t>
        </is>
      </c>
      <c r="E61" s="8" t="n">
        <v>1249.7</v>
      </c>
      <c r="F61" s="20" t="n">
        <v>0.2366856060606061</v>
      </c>
      <c r="G61" s="8" t="n">
        <v>29</v>
      </c>
      <c r="H61" s="21" t="n">
        <v>36241.3</v>
      </c>
      <c r="I61" s="21" t="n"/>
      <c r="J61" s="21">
        <f>H61+IF(I61="",0,I61)</f>
        <v/>
      </c>
      <c r="K61" s="22" t="n">
        <v>57.84</v>
      </c>
      <c r="L61" s="8" t="inlineStr">
        <is>
          <t>Measured</t>
        </is>
      </c>
      <c r="M61" s="22">
        <f>MAX(0,$K61-Assumptions!$B$12*5)</f>
        <v/>
      </c>
      <c r="N61" s="22">
        <f>MAX(0,$K61-Assumptions!$B$12*10)</f>
        <v/>
      </c>
      <c r="O61" s="22">
        <f>MAX(0,$K61-Assumptions!$B$12*16)</f>
        <v/>
      </c>
      <c r="P61" s="8">
        <f>VLOOKUP($K61,Assumptions!$A$21:$B$24,2)</f>
        <v/>
      </c>
      <c r="Q61" s="8">
        <f>VLOOKUP($M61,Assumptions!$A$21:$B$24,2)</f>
        <v/>
      </c>
      <c r="R61" s="8">
        <f>VLOOKUP($N61,Assumptions!$A$21:$B$24,2)</f>
        <v/>
      </c>
      <c r="S61" s="8">
        <f>VLOOKUP($O61,Assumptions!$A$21:$B$24,2)</f>
        <v/>
      </c>
      <c r="T61" s="21">
        <f>$J61*VLOOKUP($K61,Assumptions!$A$21:$C$24,3)</f>
        <v/>
      </c>
      <c r="U61" s="21">
        <f>$J61*VLOOKUP($M61,Assumptions!$A$21:$C$24,3)</f>
        <v/>
      </c>
      <c r="V61" s="21">
        <f>$J61*VLOOKUP($N61,Assumptions!$A$21:$C$24,3)</f>
        <v/>
      </c>
      <c r="W61" s="21">
        <f>$J61*VLOOKUP($O61,Assumptions!$A$21:$C$24,3)</f>
        <v/>
      </c>
    </row>
    <row r="62">
      <c r="A62" s="8" t="inlineStr">
        <is>
          <t>AUDUBON</t>
        </is>
      </c>
      <c r="B62" s="8" t="inlineStr">
        <is>
          <t>CT</t>
        </is>
      </c>
      <c r="C62" s="8" t="inlineStr">
        <is>
          <t>Morton Heights</t>
        </is>
      </c>
      <c r="D62" s="8" t="inlineStr">
        <is>
          <t>No one</t>
        </is>
      </c>
      <c r="E62" s="8" t="n">
        <v>318.1</v>
      </c>
      <c r="F62" s="20" t="n">
        <v>0.06024621212121212</v>
      </c>
      <c r="G62" s="8" t="n">
        <v>24</v>
      </c>
      <c r="H62" s="21" t="n">
        <v>7634.400000000001</v>
      </c>
      <c r="I62" s="21" t="n">
        <v>2500</v>
      </c>
      <c r="J62" s="21">
        <f>H62+IF(I62="",0,I62)</f>
        <v/>
      </c>
      <c r="K62" s="22" t="n">
        <v>62.64</v>
      </c>
      <c r="L62" s="8" t="inlineStr">
        <is>
          <t>Measured</t>
        </is>
      </c>
      <c r="M62" s="22">
        <f>MAX(0,$K62-Assumptions!$B$12*5)</f>
        <v/>
      </c>
      <c r="N62" s="22">
        <f>MAX(0,$K62-Assumptions!$B$12*10)</f>
        <v/>
      </c>
      <c r="O62" s="22">
        <f>MAX(0,$K62-Assumptions!$B$12*16)</f>
        <v/>
      </c>
      <c r="P62" s="8">
        <f>VLOOKUP($K62,Assumptions!$A$21:$B$24,2)</f>
        <v/>
      </c>
      <c r="Q62" s="8">
        <f>VLOOKUP($M62,Assumptions!$A$21:$B$24,2)</f>
        <v/>
      </c>
      <c r="R62" s="8">
        <f>VLOOKUP($N62,Assumptions!$A$21:$B$24,2)</f>
        <v/>
      </c>
      <c r="S62" s="8">
        <f>VLOOKUP($O62,Assumptions!$A$21:$B$24,2)</f>
        <v/>
      </c>
      <c r="T62" s="21">
        <f>$J62*VLOOKUP($K62,Assumptions!$A$21:$C$24,3)</f>
        <v/>
      </c>
      <c r="U62" s="21">
        <f>$J62*VLOOKUP($M62,Assumptions!$A$21:$C$24,3)</f>
        <v/>
      </c>
      <c r="V62" s="21">
        <f>$J62*VLOOKUP($N62,Assumptions!$A$21:$C$24,3)</f>
        <v/>
      </c>
      <c r="W62" s="21">
        <f>$J62*VLOOKUP($O62,Assumptions!$A$21:$C$24,3)</f>
        <v/>
      </c>
    </row>
    <row r="63">
      <c r="A63" s="8" t="inlineStr">
        <is>
          <t>CHEROKEE</t>
        </is>
      </c>
      <c r="B63" s="8" t="inlineStr">
        <is>
          <t>CT</t>
        </is>
      </c>
      <c r="C63" s="8" t="inlineStr">
        <is>
          <t>Morton Heights</t>
        </is>
      </c>
      <c r="D63" s="8" t="inlineStr">
        <is>
          <t>No one</t>
        </is>
      </c>
      <c r="E63" s="8" t="n">
        <v>462.6</v>
      </c>
      <c r="F63" s="20" t="n">
        <v>0.08761363636363637</v>
      </c>
      <c r="G63" s="8" t="n">
        <v>24</v>
      </c>
      <c r="H63" s="21" t="n">
        <v>11102.4</v>
      </c>
      <c r="I63" s="21" t="n">
        <v>2500</v>
      </c>
      <c r="J63" s="21">
        <f>H63+IF(I63="",0,I63)</f>
        <v/>
      </c>
      <c r="K63" s="22" t="n">
        <v>59.65</v>
      </c>
      <c r="L63" s="8" t="inlineStr">
        <is>
          <t>Measured</t>
        </is>
      </c>
      <c r="M63" s="22">
        <f>MAX(0,$K63-Assumptions!$B$12*5)</f>
        <v/>
      </c>
      <c r="N63" s="22">
        <f>MAX(0,$K63-Assumptions!$B$12*10)</f>
        <v/>
      </c>
      <c r="O63" s="22">
        <f>MAX(0,$K63-Assumptions!$B$12*16)</f>
        <v/>
      </c>
      <c r="P63" s="8">
        <f>VLOOKUP($K63,Assumptions!$A$21:$B$24,2)</f>
        <v/>
      </c>
      <c r="Q63" s="8">
        <f>VLOOKUP($M63,Assumptions!$A$21:$B$24,2)</f>
        <v/>
      </c>
      <c r="R63" s="8">
        <f>VLOOKUP($N63,Assumptions!$A$21:$B$24,2)</f>
        <v/>
      </c>
      <c r="S63" s="8">
        <f>VLOOKUP($O63,Assumptions!$A$21:$B$24,2)</f>
        <v/>
      </c>
      <c r="T63" s="21">
        <f>$J63*VLOOKUP($K63,Assumptions!$A$21:$C$24,3)</f>
        <v/>
      </c>
      <c r="U63" s="21">
        <f>$J63*VLOOKUP($M63,Assumptions!$A$21:$C$24,3)</f>
        <v/>
      </c>
      <c r="V63" s="21">
        <f>$J63*VLOOKUP($N63,Assumptions!$A$21:$C$24,3)</f>
        <v/>
      </c>
      <c r="W63" s="21">
        <f>$J63*VLOOKUP($O63,Assumptions!$A$21:$C$24,3)</f>
        <v/>
      </c>
    </row>
    <row r="64">
      <c r="A64" s="8" t="inlineStr">
        <is>
          <t>CHEYENNE</t>
        </is>
      </c>
      <c r="B64" s="8" t="inlineStr">
        <is>
          <t>CT</t>
        </is>
      </c>
      <c r="C64" s="8" t="inlineStr">
        <is>
          <t>Morton Heights</t>
        </is>
      </c>
      <c r="D64" s="8" t="inlineStr">
        <is>
          <t>No one</t>
        </is>
      </c>
      <c r="E64" s="8" t="n">
        <v>449.9</v>
      </c>
      <c r="F64" s="20" t="n">
        <v>0.08520833333333333</v>
      </c>
      <c r="G64" s="8" t="n">
        <v>24</v>
      </c>
      <c r="H64" s="21" t="n">
        <v>10797.6</v>
      </c>
      <c r="I64" s="21" t="n">
        <v>2500</v>
      </c>
      <c r="J64" s="21">
        <f>H64+IF(I64="",0,I64)</f>
        <v/>
      </c>
      <c r="K64" s="22" t="n">
        <v>51.35</v>
      </c>
      <c r="L64" s="8" t="inlineStr">
        <is>
          <t>Measured</t>
        </is>
      </c>
      <c r="M64" s="22">
        <f>MAX(0,$K64-Assumptions!$B$12*5)</f>
        <v/>
      </c>
      <c r="N64" s="22">
        <f>MAX(0,$K64-Assumptions!$B$12*10)</f>
        <v/>
      </c>
      <c r="O64" s="22">
        <f>MAX(0,$K64-Assumptions!$B$12*16)</f>
        <v/>
      </c>
      <c r="P64" s="8">
        <f>VLOOKUP($K64,Assumptions!$A$21:$B$24,2)</f>
        <v/>
      </c>
      <c r="Q64" s="8">
        <f>VLOOKUP($M64,Assumptions!$A$21:$B$24,2)</f>
        <v/>
      </c>
      <c r="R64" s="8">
        <f>VLOOKUP($N64,Assumptions!$A$21:$B$24,2)</f>
        <v/>
      </c>
      <c r="S64" s="8">
        <f>VLOOKUP($O64,Assumptions!$A$21:$B$24,2)</f>
        <v/>
      </c>
      <c r="T64" s="21">
        <f>$J64*VLOOKUP($K64,Assumptions!$A$21:$C$24,3)</f>
        <v/>
      </c>
      <c r="U64" s="21">
        <f>$J64*VLOOKUP($M64,Assumptions!$A$21:$C$24,3)</f>
        <v/>
      </c>
      <c r="V64" s="21">
        <f>$J64*VLOOKUP($N64,Assumptions!$A$21:$C$24,3)</f>
        <v/>
      </c>
      <c r="W64" s="21">
        <f>$J64*VLOOKUP($O64,Assumptions!$A$21:$C$24,3)</f>
        <v/>
      </c>
    </row>
    <row r="65">
      <c r="A65" s="8" t="inlineStr">
        <is>
          <t>COMANCHE</t>
        </is>
      </c>
      <c r="B65" s="8" t="inlineStr">
        <is>
          <t>CT</t>
        </is>
      </c>
      <c r="C65" s="8" t="inlineStr">
        <is>
          <t>Morton Heights</t>
        </is>
      </c>
      <c r="D65" s="8" t="inlineStr">
        <is>
          <t>No one</t>
        </is>
      </c>
      <c r="E65" s="8" t="n">
        <v>320.5</v>
      </c>
      <c r="F65" s="20" t="n">
        <v>0.06070075757575757</v>
      </c>
      <c r="G65" s="8" t="n">
        <v>28</v>
      </c>
      <c r="H65" s="21" t="n">
        <v>8974</v>
      </c>
      <c r="I65" s="21" t="n">
        <v>2500</v>
      </c>
      <c r="J65" s="21">
        <f>H65+IF(I65="",0,I65)</f>
        <v/>
      </c>
      <c r="K65" s="22" t="n">
        <v>43.18</v>
      </c>
      <c r="L65" s="8" t="inlineStr">
        <is>
          <t>Measured</t>
        </is>
      </c>
      <c r="M65" s="22">
        <f>MAX(0,$K65-Assumptions!$B$12*5)</f>
        <v/>
      </c>
      <c r="N65" s="22">
        <f>MAX(0,$K65-Assumptions!$B$12*10)</f>
        <v/>
      </c>
      <c r="O65" s="22">
        <f>MAX(0,$K65-Assumptions!$B$12*16)</f>
        <v/>
      </c>
      <c r="P65" s="8">
        <f>VLOOKUP($K65,Assumptions!$A$21:$B$24,2)</f>
        <v/>
      </c>
      <c r="Q65" s="8">
        <f>VLOOKUP($M65,Assumptions!$A$21:$B$24,2)</f>
        <v/>
      </c>
      <c r="R65" s="8">
        <f>VLOOKUP($N65,Assumptions!$A$21:$B$24,2)</f>
        <v/>
      </c>
      <c r="S65" s="8">
        <f>VLOOKUP($O65,Assumptions!$A$21:$B$24,2)</f>
        <v/>
      </c>
      <c r="T65" s="21">
        <f>$J65*VLOOKUP($K65,Assumptions!$A$21:$C$24,3)</f>
        <v/>
      </c>
      <c r="U65" s="21">
        <f>$J65*VLOOKUP($M65,Assumptions!$A$21:$C$24,3)</f>
        <v/>
      </c>
      <c r="V65" s="21">
        <f>$J65*VLOOKUP($N65,Assumptions!$A$21:$C$24,3)</f>
        <v/>
      </c>
      <c r="W65" s="21">
        <f>$J65*VLOOKUP($O65,Assumptions!$A$21:$C$24,3)</f>
        <v/>
      </c>
    </row>
    <row r="66">
      <c r="A66" s="8" t="inlineStr">
        <is>
          <t>COMANCHE</t>
        </is>
      </c>
      <c r="B66" s="8" t="inlineStr">
        <is>
          <t>RD</t>
        </is>
      </c>
      <c r="C66" s="8" t="inlineStr">
        <is>
          <t>Morton Heights</t>
        </is>
      </c>
      <c r="D66" s="8" t="inlineStr">
        <is>
          <t>No one</t>
        </is>
      </c>
      <c r="E66" s="8" t="n">
        <v>1747.9</v>
      </c>
      <c r="F66" s="20" t="n">
        <v>0.3310416666666667</v>
      </c>
      <c r="G66" s="8" t="n">
        <v>28</v>
      </c>
      <c r="H66" s="21" t="n">
        <v>48941.2</v>
      </c>
      <c r="I66" s="21" t="n"/>
      <c r="J66" s="21">
        <f>H66+IF(I66="",0,I66)</f>
        <v/>
      </c>
      <c r="K66" s="22" t="n">
        <v>54.22</v>
      </c>
      <c r="L66" s="8" t="inlineStr">
        <is>
          <t>Measured</t>
        </is>
      </c>
      <c r="M66" s="22">
        <f>MAX(0,$K66-Assumptions!$B$12*5)</f>
        <v/>
      </c>
      <c r="N66" s="22">
        <f>MAX(0,$K66-Assumptions!$B$12*10)</f>
        <v/>
      </c>
      <c r="O66" s="22">
        <f>MAX(0,$K66-Assumptions!$B$12*16)</f>
        <v/>
      </c>
      <c r="P66" s="8">
        <f>VLOOKUP($K66,Assumptions!$A$21:$B$24,2)</f>
        <v/>
      </c>
      <c r="Q66" s="8">
        <f>VLOOKUP($M66,Assumptions!$A$21:$B$24,2)</f>
        <v/>
      </c>
      <c r="R66" s="8">
        <f>VLOOKUP($N66,Assumptions!$A$21:$B$24,2)</f>
        <v/>
      </c>
      <c r="S66" s="8">
        <f>VLOOKUP($O66,Assumptions!$A$21:$B$24,2)</f>
        <v/>
      </c>
      <c r="T66" s="21">
        <f>$J66*VLOOKUP($K66,Assumptions!$A$21:$C$24,3)</f>
        <v/>
      </c>
      <c r="U66" s="21">
        <f>$J66*VLOOKUP($M66,Assumptions!$A$21:$C$24,3)</f>
        <v/>
      </c>
      <c r="V66" s="21">
        <f>$J66*VLOOKUP($N66,Assumptions!$A$21:$C$24,3)</f>
        <v/>
      </c>
      <c r="W66" s="21">
        <f>$J66*VLOOKUP($O66,Assumptions!$A$21:$C$24,3)</f>
        <v/>
      </c>
    </row>
    <row r="67">
      <c r="A67" s="8" t="inlineStr">
        <is>
          <t>MARATHON</t>
        </is>
      </c>
      <c r="B67" s="8" t="inlineStr">
        <is>
          <t>RD</t>
        </is>
      </c>
      <c r="C67" s="8" t="inlineStr">
        <is>
          <t>Morton Heights</t>
        </is>
      </c>
      <c r="D67" s="8" t="inlineStr">
        <is>
          <t>No one</t>
        </is>
      </c>
      <c r="E67" s="8" t="n">
        <v>1192.3</v>
      </c>
      <c r="F67" s="20" t="n">
        <v>0.2258143939393939</v>
      </c>
      <c r="G67" s="8" t="n">
        <v>24</v>
      </c>
      <c r="H67" s="21" t="n">
        <v>28615.2</v>
      </c>
      <c r="I67" s="21" t="n"/>
      <c r="J67" s="21">
        <f>H67+IF(I67="",0,I67)</f>
        <v/>
      </c>
      <c r="K67" s="22" t="n">
        <v>31.28</v>
      </c>
      <c r="L67" s="8" t="inlineStr">
        <is>
          <t>Measured</t>
        </is>
      </c>
      <c r="M67" s="22">
        <f>MAX(0,$K67-Assumptions!$B$12*5)</f>
        <v/>
      </c>
      <c r="N67" s="22">
        <f>MAX(0,$K67-Assumptions!$B$12*10)</f>
        <v/>
      </c>
      <c r="O67" s="22">
        <f>MAX(0,$K67-Assumptions!$B$12*16)</f>
        <v/>
      </c>
      <c r="P67" s="8">
        <f>VLOOKUP($K67,Assumptions!$A$21:$B$24,2)</f>
        <v/>
      </c>
      <c r="Q67" s="8">
        <f>VLOOKUP($M67,Assumptions!$A$21:$B$24,2)</f>
        <v/>
      </c>
      <c r="R67" s="8">
        <f>VLOOKUP($N67,Assumptions!$A$21:$B$24,2)</f>
        <v/>
      </c>
      <c r="S67" s="8">
        <f>VLOOKUP($O67,Assumptions!$A$21:$B$24,2)</f>
        <v/>
      </c>
      <c r="T67" s="21">
        <f>$J67*VLOOKUP($K67,Assumptions!$A$21:$C$24,3)</f>
        <v/>
      </c>
      <c r="U67" s="21">
        <f>$J67*VLOOKUP($M67,Assumptions!$A$21:$C$24,3)</f>
        <v/>
      </c>
      <c r="V67" s="21">
        <f>$J67*VLOOKUP($N67,Assumptions!$A$21:$C$24,3)</f>
        <v/>
      </c>
      <c r="W67" s="21">
        <f>$J67*VLOOKUP($O67,Assumptions!$A$21:$C$24,3)</f>
        <v/>
      </c>
    </row>
    <row r="68">
      <c r="A68" s="8" t="inlineStr">
        <is>
          <t>MARATHON</t>
        </is>
      </c>
      <c r="B68" s="8" t="inlineStr">
        <is>
          <t>RD</t>
        </is>
      </c>
      <c r="C68" s="8" t="inlineStr">
        <is>
          <t>Morton Heights</t>
        </is>
      </c>
      <c r="D68" s="8" t="inlineStr">
        <is>
          <t>No one</t>
        </is>
      </c>
      <c r="E68" s="8" t="n">
        <v>280.8</v>
      </c>
      <c r="F68" s="20" t="n">
        <v>0.05318181818181818</v>
      </c>
      <c r="G68" s="8" t="n">
        <v>24</v>
      </c>
      <c r="H68" s="21" t="n">
        <v>6739.200000000001</v>
      </c>
      <c r="I68" s="21" t="n"/>
      <c r="J68" s="21">
        <f>H68+IF(I68="",0,I68)</f>
        <v/>
      </c>
      <c r="K68" s="22" t="n">
        <v>74.41</v>
      </c>
      <c r="L68" s="8" t="inlineStr">
        <is>
          <t>Measured</t>
        </is>
      </c>
      <c r="M68" s="22">
        <f>MAX(0,$K68-Assumptions!$B$12*5)</f>
        <v/>
      </c>
      <c r="N68" s="22">
        <f>MAX(0,$K68-Assumptions!$B$12*10)</f>
        <v/>
      </c>
      <c r="O68" s="22">
        <f>MAX(0,$K68-Assumptions!$B$12*16)</f>
        <v/>
      </c>
      <c r="P68" s="8">
        <f>VLOOKUP($K68,Assumptions!$A$21:$B$24,2)</f>
        <v/>
      </c>
      <c r="Q68" s="8">
        <f>VLOOKUP($M68,Assumptions!$A$21:$B$24,2)</f>
        <v/>
      </c>
      <c r="R68" s="8">
        <f>VLOOKUP($N68,Assumptions!$A$21:$B$24,2)</f>
        <v/>
      </c>
      <c r="S68" s="8">
        <f>VLOOKUP($O68,Assumptions!$A$21:$B$24,2)</f>
        <v/>
      </c>
      <c r="T68" s="21">
        <f>$J68*VLOOKUP($K68,Assumptions!$A$21:$C$24,3)</f>
        <v/>
      </c>
      <c r="U68" s="21">
        <f>$J68*VLOOKUP($M68,Assumptions!$A$21:$C$24,3)</f>
        <v/>
      </c>
      <c r="V68" s="21">
        <f>$J68*VLOOKUP($N68,Assumptions!$A$21:$C$24,3)</f>
        <v/>
      </c>
      <c r="W68" s="21">
        <f>$J68*VLOOKUP($O68,Assumptions!$A$21:$C$24,3)</f>
        <v/>
      </c>
    </row>
    <row r="69">
      <c r="A69" s="8" t="inlineStr">
        <is>
          <t>MORTON</t>
        </is>
      </c>
      <c r="B69" s="8" t="inlineStr">
        <is>
          <t>RD</t>
        </is>
      </c>
      <c r="C69" s="8" t="inlineStr">
        <is>
          <t>Morton Heights</t>
        </is>
      </c>
      <c r="D69" s="8" t="inlineStr">
        <is>
          <t>No one</t>
        </is>
      </c>
      <c r="E69" s="8" t="n">
        <v>2184.9</v>
      </c>
      <c r="F69" s="20" t="n">
        <v>0.4138068181818182</v>
      </c>
      <c r="G69" s="8" t="n">
        <v>24</v>
      </c>
      <c r="H69" s="21" t="n">
        <v>52437.60000000001</v>
      </c>
      <c r="I69" s="21" t="n"/>
      <c r="J69" s="21">
        <f>H69+IF(I69="",0,I69)</f>
        <v/>
      </c>
      <c r="K69" s="22" t="n">
        <v>96.16</v>
      </c>
      <c r="L69" s="8" t="inlineStr">
        <is>
          <t>Measured</t>
        </is>
      </c>
      <c r="M69" s="22">
        <f>MAX(0,$K69-Assumptions!$B$12*5)</f>
        <v/>
      </c>
      <c r="N69" s="22">
        <f>MAX(0,$K69-Assumptions!$B$12*10)</f>
        <v/>
      </c>
      <c r="O69" s="22">
        <f>MAX(0,$K69-Assumptions!$B$12*16)</f>
        <v/>
      </c>
      <c r="P69" s="8">
        <f>VLOOKUP($K69,Assumptions!$A$21:$B$24,2)</f>
        <v/>
      </c>
      <c r="Q69" s="8">
        <f>VLOOKUP($M69,Assumptions!$A$21:$B$24,2)</f>
        <v/>
      </c>
      <c r="R69" s="8">
        <f>VLOOKUP($N69,Assumptions!$A$21:$B$24,2)</f>
        <v/>
      </c>
      <c r="S69" s="8">
        <f>VLOOKUP($O69,Assumptions!$A$21:$B$24,2)</f>
        <v/>
      </c>
      <c r="T69" s="21">
        <f>$J69*VLOOKUP($K69,Assumptions!$A$21:$C$24,3)</f>
        <v/>
      </c>
      <c r="U69" s="21">
        <f>$J69*VLOOKUP($M69,Assumptions!$A$21:$C$24,3)</f>
        <v/>
      </c>
      <c r="V69" s="21">
        <f>$J69*VLOOKUP($N69,Assumptions!$A$21:$C$24,3)</f>
        <v/>
      </c>
      <c r="W69" s="21">
        <f>$J69*VLOOKUP($O69,Assumptions!$A$21:$C$24,3)</f>
        <v/>
      </c>
    </row>
    <row r="70">
      <c r="A70" s="8" t="inlineStr">
        <is>
          <t>MORTON WEST</t>
        </is>
      </c>
      <c r="B70" s="8" t="inlineStr">
        <is>
          <t>RD</t>
        </is>
      </c>
      <c r="C70" s="8" t="inlineStr">
        <is>
          <t>Morton Heights</t>
        </is>
      </c>
      <c r="D70" s="8" t="inlineStr">
        <is>
          <t>No one</t>
        </is>
      </c>
      <c r="E70" s="8" t="n"/>
      <c r="F70" s="20" t="n">
        <v>0.063</v>
      </c>
      <c r="G70" s="8" t="n">
        <v>16.4</v>
      </c>
      <c r="H70" s="21" t="n">
        <v>5455.295999999999</v>
      </c>
      <c r="I70" s="21" t="n"/>
      <c r="J70" s="21">
        <f>H70+IF(I70="",0,I70)</f>
        <v/>
      </c>
      <c r="K70" s="22" t="n">
        <v>80</v>
      </c>
      <c r="L70" s="8" t="inlineStr">
        <is>
          <t>Measured</t>
        </is>
      </c>
      <c r="M70" s="22">
        <f>MAX(0,$K70-Assumptions!$B$12*5)</f>
        <v/>
      </c>
      <c r="N70" s="22">
        <f>MAX(0,$K70-Assumptions!$B$12*10)</f>
        <v/>
      </c>
      <c r="O70" s="22">
        <f>MAX(0,$K70-Assumptions!$B$12*16)</f>
        <v/>
      </c>
      <c r="P70" s="8">
        <f>VLOOKUP($K70,Assumptions!$A$21:$B$24,2)</f>
        <v/>
      </c>
      <c r="Q70" s="8">
        <f>VLOOKUP($M70,Assumptions!$A$21:$B$24,2)</f>
        <v/>
      </c>
      <c r="R70" s="8">
        <f>VLOOKUP($N70,Assumptions!$A$21:$B$24,2)</f>
        <v/>
      </c>
      <c r="S70" s="8">
        <f>VLOOKUP($O70,Assumptions!$A$21:$B$24,2)</f>
        <v/>
      </c>
      <c r="T70" s="21">
        <f>$J70*VLOOKUP($K70,Assumptions!$A$21:$C$24,3)</f>
        <v/>
      </c>
      <c r="U70" s="21">
        <f>$J70*VLOOKUP($M70,Assumptions!$A$21:$C$24,3)</f>
        <v/>
      </c>
      <c r="V70" s="21">
        <f>$J70*VLOOKUP($N70,Assumptions!$A$21:$C$24,3)</f>
        <v/>
      </c>
      <c r="W70" s="21">
        <f>$J70*VLOOKUP($O70,Assumptions!$A$21:$C$24,3)</f>
        <v/>
      </c>
    </row>
    <row r="71">
      <c r="A71" s="8" t="inlineStr">
        <is>
          <t>PAIUTE</t>
        </is>
      </c>
      <c r="B71" s="8" t="inlineStr">
        <is>
          <t>AVE</t>
        </is>
      </c>
      <c r="C71" s="8" t="inlineStr">
        <is>
          <t>Morton Heights</t>
        </is>
      </c>
      <c r="D71" s="8" t="inlineStr">
        <is>
          <t>No one</t>
        </is>
      </c>
      <c r="E71" s="8" t="n">
        <v>1362.5</v>
      </c>
      <c r="F71" s="20" t="n">
        <v>0.2580492424242424</v>
      </c>
      <c r="G71" s="8" t="n">
        <v>29</v>
      </c>
      <c r="H71" s="21" t="n">
        <v>39512.5</v>
      </c>
      <c r="I71" s="21" t="n"/>
      <c r="J71" s="21">
        <f>H71+IF(I71="",0,I71)</f>
        <v/>
      </c>
      <c r="K71" s="22" t="n">
        <v>43.41</v>
      </c>
      <c r="L71" s="8" t="inlineStr">
        <is>
          <t>Measured</t>
        </is>
      </c>
      <c r="M71" s="22">
        <f>MAX(0,$K71-Assumptions!$B$12*5)</f>
        <v/>
      </c>
      <c r="N71" s="22">
        <f>MAX(0,$K71-Assumptions!$B$12*10)</f>
        <v/>
      </c>
      <c r="O71" s="22">
        <f>MAX(0,$K71-Assumptions!$B$12*16)</f>
        <v/>
      </c>
      <c r="P71" s="8">
        <f>VLOOKUP($K71,Assumptions!$A$21:$B$24,2)</f>
        <v/>
      </c>
      <c r="Q71" s="8">
        <f>VLOOKUP($M71,Assumptions!$A$21:$B$24,2)</f>
        <v/>
      </c>
      <c r="R71" s="8">
        <f>VLOOKUP($N71,Assumptions!$A$21:$B$24,2)</f>
        <v/>
      </c>
      <c r="S71" s="8">
        <f>VLOOKUP($O71,Assumptions!$A$21:$B$24,2)</f>
        <v/>
      </c>
      <c r="T71" s="21">
        <f>$J71*VLOOKUP($K71,Assumptions!$A$21:$C$24,3)</f>
        <v/>
      </c>
      <c r="U71" s="21">
        <f>$J71*VLOOKUP($M71,Assumptions!$A$21:$C$24,3)</f>
        <v/>
      </c>
      <c r="V71" s="21">
        <f>$J71*VLOOKUP($N71,Assumptions!$A$21:$C$24,3)</f>
        <v/>
      </c>
      <c r="W71" s="21">
        <f>$J71*VLOOKUP($O71,Assumptions!$A$21:$C$24,3)</f>
        <v/>
      </c>
    </row>
    <row r="72">
      <c r="A72" s="8" t="inlineStr">
        <is>
          <t>PAIUTE</t>
        </is>
      </c>
      <c r="B72" s="8" t="inlineStr">
        <is>
          <t>AVE</t>
        </is>
      </c>
      <c r="C72" s="8" t="inlineStr">
        <is>
          <t>Morton Heights</t>
        </is>
      </c>
      <c r="D72" s="8" t="inlineStr">
        <is>
          <t>No one</t>
        </is>
      </c>
      <c r="E72" s="8" t="n">
        <v>706.7</v>
      </c>
      <c r="F72" s="20" t="n">
        <v>0.133844696969697</v>
      </c>
      <c r="G72" s="8" t="n">
        <v>29</v>
      </c>
      <c r="H72" s="21" t="n">
        <v>20494.3</v>
      </c>
      <c r="I72" s="21" t="n"/>
      <c r="J72" s="21">
        <f>H72+IF(I72="",0,I72)</f>
        <v/>
      </c>
      <c r="K72" s="22" t="n">
        <v>97.56999999999999</v>
      </c>
      <c r="L72" s="8" t="inlineStr">
        <is>
          <t>Measured</t>
        </is>
      </c>
      <c r="M72" s="22">
        <f>MAX(0,$K72-Assumptions!$B$12*5)</f>
        <v/>
      </c>
      <c r="N72" s="22">
        <f>MAX(0,$K72-Assumptions!$B$12*10)</f>
        <v/>
      </c>
      <c r="O72" s="22">
        <f>MAX(0,$K72-Assumptions!$B$12*16)</f>
        <v/>
      </c>
      <c r="P72" s="8">
        <f>VLOOKUP($K72,Assumptions!$A$21:$B$24,2)</f>
        <v/>
      </c>
      <c r="Q72" s="8">
        <f>VLOOKUP($M72,Assumptions!$A$21:$B$24,2)</f>
        <v/>
      </c>
      <c r="R72" s="8">
        <f>VLOOKUP($N72,Assumptions!$A$21:$B$24,2)</f>
        <v/>
      </c>
      <c r="S72" s="8">
        <f>VLOOKUP($O72,Assumptions!$A$21:$B$24,2)</f>
        <v/>
      </c>
      <c r="T72" s="21">
        <f>$J72*VLOOKUP($K72,Assumptions!$A$21:$C$24,3)</f>
        <v/>
      </c>
      <c r="U72" s="21">
        <f>$J72*VLOOKUP($M72,Assumptions!$A$21:$C$24,3)</f>
        <v/>
      </c>
      <c r="V72" s="21">
        <f>$J72*VLOOKUP($N72,Assumptions!$A$21:$C$24,3)</f>
        <v/>
      </c>
      <c r="W72" s="21">
        <f>$J72*VLOOKUP($O72,Assumptions!$A$21:$C$24,3)</f>
        <v/>
      </c>
    </row>
    <row r="73">
      <c r="A73" s="8" t="inlineStr">
        <is>
          <t>PAIUTE</t>
        </is>
      </c>
      <c r="B73" s="8" t="inlineStr">
        <is>
          <t>CT</t>
        </is>
      </c>
      <c r="C73" s="8" t="inlineStr">
        <is>
          <t>Morton Heights</t>
        </is>
      </c>
      <c r="D73" s="8" t="inlineStr">
        <is>
          <t>No one</t>
        </is>
      </c>
      <c r="E73" s="8" t="n">
        <v>421</v>
      </c>
      <c r="F73" s="20" t="n">
        <v>0.07973484848484849</v>
      </c>
      <c r="G73" s="8" t="n">
        <v>24</v>
      </c>
      <c r="H73" s="21" t="n">
        <v>10104</v>
      </c>
      <c r="I73" s="21" t="n">
        <v>2500</v>
      </c>
      <c r="J73" s="21">
        <f>H73+IF(I73="",0,I73)</f>
        <v/>
      </c>
      <c r="K73" s="22" t="n">
        <v>54.75</v>
      </c>
      <c r="L73" s="8" t="inlineStr">
        <is>
          <t>Measured</t>
        </is>
      </c>
      <c r="M73" s="22">
        <f>MAX(0,$K73-Assumptions!$B$12*5)</f>
        <v/>
      </c>
      <c r="N73" s="22">
        <f>MAX(0,$K73-Assumptions!$B$12*10)</f>
        <v/>
      </c>
      <c r="O73" s="22">
        <f>MAX(0,$K73-Assumptions!$B$12*16)</f>
        <v/>
      </c>
      <c r="P73" s="8">
        <f>VLOOKUP($K73,Assumptions!$A$21:$B$24,2)</f>
        <v/>
      </c>
      <c r="Q73" s="8">
        <f>VLOOKUP($M73,Assumptions!$A$21:$B$24,2)</f>
        <v/>
      </c>
      <c r="R73" s="8">
        <f>VLOOKUP($N73,Assumptions!$A$21:$B$24,2)</f>
        <v/>
      </c>
      <c r="S73" s="8">
        <f>VLOOKUP($O73,Assumptions!$A$21:$B$24,2)</f>
        <v/>
      </c>
      <c r="T73" s="21">
        <f>$J73*VLOOKUP($K73,Assumptions!$A$21:$C$24,3)</f>
        <v/>
      </c>
      <c r="U73" s="21">
        <f>$J73*VLOOKUP($M73,Assumptions!$A$21:$C$24,3)</f>
        <v/>
      </c>
      <c r="V73" s="21">
        <f>$J73*VLOOKUP($N73,Assumptions!$A$21:$C$24,3)</f>
        <v/>
      </c>
      <c r="W73" s="21">
        <f>$J73*VLOOKUP($O73,Assumptions!$A$21:$C$24,3)</f>
        <v/>
      </c>
    </row>
    <row r="74">
      <c r="A74" s="8" t="inlineStr">
        <is>
          <t>WALKER</t>
        </is>
      </c>
      <c r="B74" s="8" t="inlineStr">
        <is>
          <t>AVE</t>
        </is>
      </c>
      <c r="C74" s="8" t="inlineStr">
        <is>
          <t>Morton Heights</t>
        </is>
      </c>
      <c r="D74" s="8" t="inlineStr">
        <is>
          <t>No one</t>
        </is>
      </c>
      <c r="E74" s="8" t="n">
        <v>521.6</v>
      </c>
      <c r="F74" s="20" t="n">
        <v>0.09878787878787879</v>
      </c>
      <c r="G74" s="8" t="n">
        <v>29</v>
      </c>
      <c r="H74" s="21" t="n">
        <v>15126.4</v>
      </c>
      <c r="I74" s="21" t="n"/>
      <c r="J74" s="21">
        <f>H74+IF(I74="",0,I74)</f>
        <v/>
      </c>
      <c r="K74" s="22" t="n">
        <v>96.48</v>
      </c>
      <c r="L74" s="8" t="inlineStr">
        <is>
          <t>Measured</t>
        </is>
      </c>
      <c r="M74" s="22">
        <f>MAX(0,$K74-Assumptions!$B$12*5)</f>
        <v/>
      </c>
      <c r="N74" s="22">
        <f>MAX(0,$K74-Assumptions!$B$12*10)</f>
        <v/>
      </c>
      <c r="O74" s="22">
        <f>MAX(0,$K74-Assumptions!$B$12*16)</f>
        <v/>
      </c>
      <c r="P74" s="8">
        <f>VLOOKUP($K74,Assumptions!$A$21:$B$24,2)</f>
        <v/>
      </c>
      <c r="Q74" s="8">
        <f>VLOOKUP($M74,Assumptions!$A$21:$B$24,2)</f>
        <v/>
      </c>
      <c r="R74" s="8">
        <f>VLOOKUP($N74,Assumptions!$A$21:$B$24,2)</f>
        <v/>
      </c>
      <c r="S74" s="8">
        <f>VLOOKUP($O74,Assumptions!$A$21:$B$24,2)</f>
        <v/>
      </c>
      <c r="T74" s="21">
        <f>$J74*VLOOKUP($K74,Assumptions!$A$21:$C$24,3)</f>
        <v/>
      </c>
      <c r="U74" s="21">
        <f>$J74*VLOOKUP($M74,Assumptions!$A$21:$C$24,3)</f>
        <v/>
      </c>
      <c r="V74" s="21">
        <f>$J74*VLOOKUP($N74,Assumptions!$A$21:$C$24,3)</f>
        <v/>
      </c>
      <c r="W74" s="21">
        <f>$J74*VLOOKUP($O74,Assumptions!$A$21:$C$24,3)</f>
        <v/>
      </c>
    </row>
    <row r="75">
      <c r="A75" s="8" t="inlineStr">
        <is>
          <t>WALKER</t>
        </is>
      </c>
      <c r="B75" s="8" t="inlineStr">
        <is>
          <t>CT</t>
        </is>
      </c>
      <c r="C75" s="8" t="inlineStr">
        <is>
          <t>Morton Heights</t>
        </is>
      </c>
      <c r="D75" s="8" t="inlineStr">
        <is>
          <t>No one</t>
        </is>
      </c>
      <c r="E75" s="8" t="n">
        <v>755.2</v>
      </c>
      <c r="F75" s="20" t="n">
        <v>0.143030303030303</v>
      </c>
      <c r="G75" s="8" t="n">
        <v>27</v>
      </c>
      <c r="H75" s="21" t="n">
        <v>20390.4</v>
      </c>
      <c r="I75" s="21" t="n">
        <v>2500</v>
      </c>
      <c r="J75" s="21">
        <f>H75+IF(I75="",0,I75)</f>
        <v/>
      </c>
      <c r="K75" s="22" t="n">
        <v>50.78</v>
      </c>
      <c r="L75" s="8" t="inlineStr">
        <is>
          <t>Measured</t>
        </is>
      </c>
      <c r="M75" s="22">
        <f>MAX(0,$K75-Assumptions!$B$12*5)</f>
        <v/>
      </c>
      <c r="N75" s="22">
        <f>MAX(0,$K75-Assumptions!$B$12*10)</f>
        <v/>
      </c>
      <c r="O75" s="22">
        <f>MAX(0,$K75-Assumptions!$B$12*16)</f>
        <v/>
      </c>
      <c r="P75" s="8">
        <f>VLOOKUP($K75,Assumptions!$A$21:$B$24,2)</f>
        <v/>
      </c>
      <c r="Q75" s="8">
        <f>VLOOKUP($M75,Assumptions!$A$21:$B$24,2)</f>
        <v/>
      </c>
      <c r="R75" s="8">
        <f>VLOOKUP($N75,Assumptions!$A$21:$B$24,2)</f>
        <v/>
      </c>
      <c r="S75" s="8">
        <f>VLOOKUP($O75,Assumptions!$A$21:$B$24,2)</f>
        <v/>
      </c>
      <c r="T75" s="21">
        <f>$J75*VLOOKUP($K75,Assumptions!$A$21:$C$24,3)</f>
        <v/>
      </c>
      <c r="U75" s="21">
        <f>$J75*VLOOKUP($M75,Assumptions!$A$21:$C$24,3)</f>
        <v/>
      </c>
      <c r="V75" s="21">
        <f>$J75*VLOOKUP($N75,Assumptions!$A$21:$C$24,3)</f>
        <v/>
      </c>
      <c r="W75" s="21">
        <f>$J75*VLOOKUP($O75,Assumptions!$A$21:$C$24,3)</f>
        <v/>
      </c>
    </row>
    <row r="76">
      <c r="A76" s="8" t="inlineStr">
        <is>
          <t>WALKER</t>
        </is>
      </c>
      <c r="B76" s="8" t="inlineStr">
        <is>
          <t>DR</t>
        </is>
      </c>
      <c r="C76" s="8" t="inlineStr">
        <is>
          <t>Morton Heights</t>
        </is>
      </c>
      <c r="D76" s="8" t="inlineStr">
        <is>
          <t>No one</t>
        </is>
      </c>
      <c r="E76" s="8" t="n">
        <v>420</v>
      </c>
      <c r="F76" s="20" t="n">
        <v>0.07954545454545454</v>
      </c>
      <c r="G76" s="8" t="n">
        <v>29</v>
      </c>
      <c r="H76" s="21" t="n">
        <v>12180</v>
      </c>
      <c r="I76" s="21" t="n"/>
      <c r="J76" s="21">
        <f>H76+IF(I76="",0,I76)</f>
        <v/>
      </c>
      <c r="K76" s="22" t="n">
        <v>23.91</v>
      </c>
      <c r="L76" s="8" t="inlineStr">
        <is>
          <t>Measured</t>
        </is>
      </c>
      <c r="M76" s="22">
        <f>MAX(0,$K76-Assumptions!$B$12*5)</f>
        <v/>
      </c>
      <c r="N76" s="22">
        <f>MAX(0,$K76-Assumptions!$B$12*10)</f>
        <v/>
      </c>
      <c r="O76" s="22">
        <f>MAX(0,$K76-Assumptions!$B$12*16)</f>
        <v/>
      </c>
      <c r="P76" s="8">
        <f>VLOOKUP($K76,Assumptions!$A$21:$B$24,2)</f>
        <v/>
      </c>
      <c r="Q76" s="8">
        <f>VLOOKUP($M76,Assumptions!$A$21:$B$24,2)</f>
        <v/>
      </c>
      <c r="R76" s="8">
        <f>VLOOKUP($N76,Assumptions!$A$21:$B$24,2)</f>
        <v/>
      </c>
      <c r="S76" s="8">
        <f>VLOOKUP($O76,Assumptions!$A$21:$B$24,2)</f>
        <v/>
      </c>
      <c r="T76" s="21">
        <f>$J76*VLOOKUP($K76,Assumptions!$A$21:$C$24,3)</f>
        <v/>
      </c>
      <c r="U76" s="21">
        <f>$J76*VLOOKUP($M76,Assumptions!$A$21:$C$24,3)</f>
        <v/>
      </c>
      <c r="V76" s="21">
        <f>$J76*VLOOKUP($N76,Assumptions!$A$21:$C$24,3)</f>
        <v/>
      </c>
      <c r="W76" s="21">
        <f>$J76*VLOOKUP($O76,Assumptions!$A$21:$C$24,3)</f>
        <v/>
      </c>
    </row>
    <row r="77">
      <c r="A77" s="8" t="inlineStr">
        <is>
          <t>WALKER</t>
        </is>
      </c>
      <c r="B77" s="8" t="inlineStr">
        <is>
          <t>DR</t>
        </is>
      </c>
      <c r="C77" s="8" t="inlineStr">
        <is>
          <t>Morton Heights</t>
        </is>
      </c>
      <c r="D77" s="8" t="inlineStr">
        <is>
          <t>No one</t>
        </is>
      </c>
      <c r="E77" s="8" t="n">
        <v>871</v>
      </c>
      <c r="F77" s="20" t="n">
        <v>0.1649621212121212</v>
      </c>
      <c r="G77" s="8" t="n">
        <v>29</v>
      </c>
      <c r="H77" s="21" t="n">
        <v>25259</v>
      </c>
      <c r="I77" s="21" t="n"/>
      <c r="J77" s="21">
        <f>H77+IF(I77="",0,I77)</f>
        <v/>
      </c>
      <c r="K77" s="22" t="n">
        <v>97.03</v>
      </c>
      <c r="L77" s="8" t="inlineStr">
        <is>
          <t>Measured</t>
        </is>
      </c>
      <c r="M77" s="22">
        <f>MAX(0,$K77-Assumptions!$B$12*5)</f>
        <v/>
      </c>
      <c r="N77" s="22">
        <f>MAX(0,$K77-Assumptions!$B$12*10)</f>
        <v/>
      </c>
      <c r="O77" s="22">
        <f>MAX(0,$K77-Assumptions!$B$12*16)</f>
        <v/>
      </c>
      <c r="P77" s="8">
        <f>VLOOKUP($K77,Assumptions!$A$21:$B$24,2)</f>
        <v/>
      </c>
      <c r="Q77" s="8">
        <f>VLOOKUP($M77,Assumptions!$A$21:$B$24,2)</f>
        <v/>
      </c>
      <c r="R77" s="8">
        <f>VLOOKUP($N77,Assumptions!$A$21:$B$24,2)</f>
        <v/>
      </c>
      <c r="S77" s="8">
        <f>VLOOKUP($O77,Assumptions!$A$21:$B$24,2)</f>
        <v/>
      </c>
      <c r="T77" s="21">
        <f>$J77*VLOOKUP($K77,Assumptions!$A$21:$C$24,3)</f>
        <v/>
      </c>
      <c r="U77" s="21">
        <f>$J77*VLOOKUP($M77,Assumptions!$A$21:$C$24,3)</f>
        <v/>
      </c>
      <c r="V77" s="21">
        <f>$J77*VLOOKUP($N77,Assumptions!$A$21:$C$24,3)</f>
        <v/>
      </c>
      <c r="W77" s="21">
        <f>$J77*VLOOKUP($O77,Assumptions!$A$21:$C$24,3)</f>
        <v/>
      </c>
    </row>
    <row r="78">
      <c r="A78" s="8" t="inlineStr">
        <is>
          <t>WALKER</t>
        </is>
      </c>
      <c r="B78" s="8" t="inlineStr">
        <is>
          <t>RD</t>
        </is>
      </c>
      <c r="C78" s="8" t="inlineStr">
        <is>
          <t>Morton Heights</t>
        </is>
      </c>
      <c r="D78" s="8" t="inlineStr">
        <is>
          <t>No one</t>
        </is>
      </c>
      <c r="E78" s="8" t="n">
        <v>1685.2</v>
      </c>
      <c r="F78" s="20" t="n">
        <v>0.3191666666666667</v>
      </c>
      <c r="G78" s="8" t="n">
        <v>29</v>
      </c>
      <c r="H78" s="21" t="n">
        <v>48870.8</v>
      </c>
      <c r="I78" s="21" t="n"/>
      <c r="J78" s="21">
        <f>H78+IF(I78="",0,I78)</f>
        <v/>
      </c>
      <c r="K78" s="22" t="n">
        <v>38.87</v>
      </c>
      <c r="L78" s="8" t="inlineStr">
        <is>
          <t>Measured</t>
        </is>
      </c>
      <c r="M78" s="22">
        <f>MAX(0,$K78-Assumptions!$B$12*5)</f>
        <v/>
      </c>
      <c r="N78" s="22">
        <f>MAX(0,$K78-Assumptions!$B$12*10)</f>
        <v/>
      </c>
      <c r="O78" s="22">
        <f>MAX(0,$K78-Assumptions!$B$12*16)</f>
        <v/>
      </c>
      <c r="P78" s="8">
        <f>VLOOKUP($K78,Assumptions!$A$21:$B$24,2)</f>
        <v/>
      </c>
      <c r="Q78" s="8">
        <f>VLOOKUP($M78,Assumptions!$A$21:$B$24,2)</f>
        <v/>
      </c>
      <c r="R78" s="8">
        <f>VLOOKUP($N78,Assumptions!$A$21:$B$24,2)</f>
        <v/>
      </c>
      <c r="S78" s="8">
        <f>VLOOKUP($O78,Assumptions!$A$21:$B$24,2)</f>
        <v/>
      </c>
      <c r="T78" s="21">
        <f>$J78*VLOOKUP($K78,Assumptions!$A$21:$C$24,3)</f>
        <v/>
      </c>
      <c r="U78" s="21">
        <f>$J78*VLOOKUP($M78,Assumptions!$A$21:$C$24,3)</f>
        <v/>
      </c>
      <c r="V78" s="21">
        <f>$J78*VLOOKUP($N78,Assumptions!$A$21:$C$24,3)</f>
        <v/>
      </c>
      <c r="W78" s="21">
        <f>$J78*VLOOKUP($O78,Assumptions!$A$21:$C$24,3)</f>
        <v/>
      </c>
    </row>
    <row r="79">
      <c r="A79" s="8" t="inlineStr">
        <is>
          <t>ESTATE</t>
        </is>
      </c>
      <c r="B79" s="8" t="inlineStr">
        <is>
          <t>CIR</t>
        </is>
      </c>
      <c r="C79" s="8" t="inlineStr">
        <is>
          <t>Niwot Estates</t>
        </is>
      </c>
      <c r="D79" s="8" t="inlineStr">
        <is>
          <t>No one</t>
        </is>
      </c>
      <c r="E79" s="8" t="n">
        <v>2644.1</v>
      </c>
      <c r="F79" s="20" t="n">
        <v>0.5007765151515151</v>
      </c>
      <c r="G79" s="8" t="n">
        <v>26</v>
      </c>
      <c r="H79" s="21" t="n">
        <v>68746.59999999999</v>
      </c>
      <c r="I79" s="21" t="n"/>
      <c r="J79" s="21">
        <f>H79+IF(I79="",0,I79)</f>
        <v/>
      </c>
      <c r="K79" s="22" t="n">
        <v>53.93</v>
      </c>
      <c r="L79" s="8" t="inlineStr">
        <is>
          <t>Measured</t>
        </is>
      </c>
      <c r="M79" s="22">
        <f>MAX(0,$K79-Assumptions!$B$12*5)</f>
        <v/>
      </c>
      <c r="N79" s="22">
        <f>MAX(0,$K79-Assumptions!$B$12*10)</f>
        <v/>
      </c>
      <c r="O79" s="22">
        <f>MAX(0,$K79-Assumptions!$B$12*16)</f>
        <v/>
      </c>
      <c r="P79" s="8">
        <f>VLOOKUP($K79,Assumptions!$A$21:$B$24,2)</f>
        <v/>
      </c>
      <c r="Q79" s="8">
        <f>VLOOKUP($M79,Assumptions!$A$21:$B$24,2)</f>
        <v/>
      </c>
      <c r="R79" s="8">
        <f>VLOOKUP($N79,Assumptions!$A$21:$B$24,2)</f>
        <v/>
      </c>
      <c r="S79" s="8">
        <f>VLOOKUP($O79,Assumptions!$A$21:$B$24,2)</f>
        <v/>
      </c>
      <c r="T79" s="21">
        <f>$J79*VLOOKUP($K79,Assumptions!$A$21:$C$24,3)</f>
        <v/>
      </c>
      <c r="U79" s="21">
        <f>$J79*VLOOKUP($M79,Assumptions!$A$21:$C$24,3)</f>
        <v/>
      </c>
      <c r="V79" s="21">
        <f>$J79*VLOOKUP($N79,Assumptions!$A$21:$C$24,3)</f>
        <v/>
      </c>
      <c r="W79" s="21">
        <f>$J79*VLOOKUP($O79,Assumptions!$A$21:$C$24,3)</f>
        <v/>
      </c>
    </row>
    <row r="80">
      <c r="A80" s="8" t="inlineStr">
        <is>
          <t>BLUE SPRUCE</t>
        </is>
      </c>
      <c r="B80" s="8" t="inlineStr">
        <is>
          <t>LN</t>
        </is>
      </c>
      <c r="C80" s="8" t="inlineStr">
        <is>
          <t>Niwot Hills</t>
        </is>
      </c>
      <c r="D80" s="8" t="inlineStr">
        <is>
          <t>No one</t>
        </is>
      </c>
      <c r="E80" s="8" t="n">
        <v>629.3</v>
      </c>
      <c r="F80" s="20" t="n">
        <v>0.119185606060606</v>
      </c>
      <c r="G80" s="8" t="n">
        <v>32</v>
      </c>
      <c r="H80" s="21" t="n">
        <v>20137.6</v>
      </c>
      <c r="I80" s="21" t="n"/>
      <c r="J80" s="21">
        <f>H80+IF(I80="",0,I80)</f>
        <v/>
      </c>
      <c r="K80" s="22" t="n">
        <v>52.4</v>
      </c>
      <c r="L80" s="8" t="inlineStr">
        <is>
          <t>Measured</t>
        </is>
      </c>
      <c r="M80" s="22">
        <f>MAX(0,$K80-Assumptions!$B$12*5)</f>
        <v/>
      </c>
      <c r="N80" s="22">
        <f>MAX(0,$K80-Assumptions!$B$12*10)</f>
        <v/>
      </c>
      <c r="O80" s="22">
        <f>MAX(0,$K80-Assumptions!$B$12*16)</f>
        <v/>
      </c>
      <c r="P80" s="8">
        <f>VLOOKUP($K80,Assumptions!$A$21:$B$24,2)</f>
        <v/>
      </c>
      <c r="Q80" s="8">
        <f>VLOOKUP($M80,Assumptions!$A$21:$B$24,2)</f>
        <v/>
      </c>
      <c r="R80" s="8">
        <f>VLOOKUP($N80,Assumptions!$A$21:$B$24,2)</f>
        <v/>
      </c>
      <c r="S80" s="8">
        <f>VLOOKUP($O80,Assumptions!$A$21:$B$24,2)</f>
        <v/>
      </c>
      <c r="T80" s="21">
        <f>$J80*VLOOKUP($K80,Assumptions!$A$21:$C$24,3)</f>
        <v/>
      </c>
      <c r="U80" s="21">
        <f>$J80*VLOOKUP($M80,Assumptions!$A$21:$C$24,3)</f>
        <v/>
      </c>
      <c r="V80" s="21">
        <f>$J80*VLOOKUP($N80,Assumptions!$A$21:$C$24,3)</f>
        <v/>
      </c>
      <c r="W80" s="21">
        <f>$J80*VLOOKUP($O80,Assumptions!$A$21:$C$24,3)</f>
        <v/>
      </c>
    </row>
    <row r="81">
      <c r="A81" s="8" t="inlineStr">
        <is>
          <t>NIWOT HILLS</t>
        </is>
      </c>
      <c r="B81" s="8" t="inlineStr">
        <is>
          <t>DR</t>
        </is>
      </c>
      <c r="C81" s="8" t="inlineStr">
        <is>
          <t>Niwot Hills</t>
        </is>
      </c>
      <c r="D81" s="8" t="inlineStr">
        <is>
          <t>No one</t>
        </is>
      </c>
      <c r="E81" s="8" t="n">
        <v>181.1</v>
      </c>
      <c r="F81" s="20" t="n">
        <v>0.03429924242424243</v>
      </c>
      <c r="G81" s="8" t="n">
        <v>32</v>
      </c>
      <c r="H81" s="21" t="n">
        <v>5795.200000000001</v>
      </c>
      <c r="I81" s="21" t="n"/>
      <c r="J81" s="21">
        <f>H81+IF(I81="",0,I81)</f>
        <v/>
      </c>
      <c r="K81" s="22" t="n">
        <v>51.02</v>
      </c>
      <c r="L81" s="8" t="inlineStr">
        <is>
          <t>Measured</t>
        </is>
      </c>
      <c r="M81" s="22">
        <f>MAX(0,$K81-Assumptions!$B$12*5)</f>
        <v/>
      </c>
      <c r="N81" s="22">
        <f>MAX(0,$K81-Assumptions!$B$12*10)</f>
        <v/>
      </c>
      <c r="O81" s="22">
        <f>MAX(0,$K81-Assumptions!$B$12*16)</f>
        <v/>
      </c>
      <c r="P81" s="8">
        <f>VLOOKUP($K81,Assumptions!$A$21:$B$24,2)</f>
        <v/>
      </c>
      <c r="Q81" s="8">
        <f>VLOOKUP($M81,Assumptions!$A$21:$B$24,2)</f>
        <v/>
      </c>
      <c r="R81" s="8">
        <f>VLOOKUP($N81,Assumptions!$A$21:$B$24,2)</f>
        <v/>
      </c>
      <c r="S81" s="8">
        <f>VLOOKUP($O81,Assumptions!$A$21:$B$24,2)</f>
        <v/>
      </c>
      <c r="T81" s="21">
        <f>$J81*VLOOKUP($K81,Assumptions!$A$21:$C$24,3)</f>
        <v/>
      </c>
      <c r="U81" s="21">
        <f>$J81*VLOOKUP($M81,Assumptions!$A$21:$C$24,3)</f>
        <v/>
      </c>
      <c r="V81" s="21">
        <f>$J81*VLOOKUP($N81,Assumptions!$A$21:$C$24,3)</f>
        <v/>
      </c>
      <c r="W81" s="21">
        <f>$J81*VLOOKUP($O81,Assumptions!$A$21:$C$24,3)</f>
        <v/>
      </c>
    </row>
    <row r="82">
      <c r="A82" s="8" t="inlineStr">
        <is>
          <t>NIWOT HILLS</t>
        </is>
      </c>
      <c r="B82" s="8" t="inlineStr">
        <is>
          <t>DR</t>
        </is>
      </c>
      <c r="C82" s="8" t="inlineStr">
        <is>
          <t>Niwot Hills</t>
        </is>
      </c>
      <c r="D82" s="8" t="inlineStr">
        <is>
          <t>No one</t>
        </is>
      </c>
      <c r="E82" s="8" t="n">
        <v>191.2</v>
      </c>
      <c r="F82" s="20" t="n">
        <v>0.03621212121212121</v>
      </c>
      <c r="G82" s="8" t="n">
        <v>32</v>
      </c>
      <c r="H82" s="21" t="n">
        <v>6118.4</v>
      </c>
      <c r="I82" s="21" t="n"/>
      <c r="J82" s="21">
        <f>H82+IF(I82="",0,I82)</f>
        <v/>
      </c>
      <c r="K82" s="22" t="n">
        <v>53.36</v>
      </c>
      <c r="L82" s="8" t="inlineStr">
        <is>
          <t>Measured</t>
        </is>
      </c>
      <c r="M82" s="22">
        <f>MAX(0,$K82-Assumptions!$B$12*5)</f>
        <v/>
      </c>
      <c r="N82" s="22">
        <f>MAX(0,$K82-Assumptions!$B$12*10)</f>
        <v/>
      </c>
      <c r="O82" s="22">
        <f>MAX(0,$K82-Assumptions!$B$12*16)</f>
        <v/>
      </c>
      <c r="P82" s="8">
        <f>VLOOKUP($K82,Assumptions!$A$21:$B$24,2)</f>
        <v/>
      </c>
      <c r="Q82" s="8">
        <f>VLOOKUP($M82,Assumptions!$A$21:$B$24,2)</f>
        <v/>
      </c>
      <c r="R82" s="8">
        <f>VLOOKUP($N82,Assumptions!$A$21:$B$24,2)</f>
        <v/>
      </c>
      <c r="S82" s="8">
        <f>VLOOKUP($O82,Assumptions!$A$21:$B$24,2)</f>
        <v/>
      </c>
      <c r="T82" s="21">
        <f>$J82*VLOOKUP($K82,Assumptions!$A$21:$C$24,3)</f>
        <v/>
      </c>
      <c r="U82" s="21">
        <f>$J82*VLOOKUP($M82,Assumptions!$A$21:$C$24,3)</f>
        <v/>
      </c>
      <c r="V82" s="21">
        <f>$J82*VLOOKUP($N82,Assumptions!$A$21:$C$24,3)</f>
        <v/>
      </c>
      <c r="W82" s="21">
        <f>$J82*VLOOKUP($O82,Assumptions!$A$21:$C$24,3)</f>
        <v/>
      </c>
    </row>
    <row r="83">
      <c r="A83" s="8" t="inlineStr">
        <is>
          <t>NIWOT HILLS</t>
        </is>
      </c>
      <c r="B83" s="8" t="inlineStr">
        <is>
          <t>DR</t>
        </is>
      </c>
      <c r="C83" s="8" t="inlineStr">
        <is>
          <t>Niwot Hills</t>
        </is>
      </c>
      <c r="D83" s="8" t="inlineStr">
        <is>
          <t>No one</t>
        </is>
      </c>
      <c r="E83" s="8" t="n">
        <v>1372</v>
      </c>
      <c r="F83" s="20" t="n">
        <v>0.2598484848484848</v>
      </c>
      <c r="G83" s="8" t="n">
        <v>32</v>
      </c>
      <c r="H83" s="21" t="n">
        <v>43904</v>
      </c>
      <c r="I83" s="21" t="n"/>
      <c r="J83" s="21">
        <f>H83+IF(I83="",0,I83)</f>
        <v/>
      </c>
      <c r="K83" s="22" t="n">
        <v>57.86</v>
      </c>
      <c r="L83" s="8" t="inlineStr">
        <is>
          <t>Measured</t>
        </is>
      </c>
      <c r="M83" s="22">
        <f>MAX(0,$K83-Assumptions!$B$12*5)</f>
        <v/>
      </c>
      <c r="N83" s="22">
        <f>MAX(0,$K83-Assumptions!$B$12*10)</f>
        <v/>
      </c>
      <c r="O83" s="22">
        <f>MAX(0,$K83-Assumptions!$B$12*16)</f>
        <v/>
      </c>
      <c r="P83" s="8">
        <f>VLOOKUP($K83,Assumptions!$A$21:$B$24,2)</f>
        <v/>
      </c>
      <c r="Q83" s="8">
        <f>VLOOKUP($M83,Assumptions!$A$21:$B$24,2)</f>
        <v/>
      </c>
      <c r="R83" s="8">
        <f>VLOOKUP($N83,Assumptions!$A$21:$B$24,2)</f>
        <v/>
      </c>
      <c r="S83" s="8">
        <f>VLOOKUP($O83,Assumptions!$A$21:$B$24,2)</f>
        <v/>
      </c>
      <c r="T83" s="21">
        <f>$J83*VLOOKUP($K83,Assumptions!$A$21:$C$24,3)</f>
        <v/>
      </c>
      <c r="U83" s="21">
        <f>$J83*VLOOKUP($M83,Assumptions!$A$21:$C$24,3)</f>
        <v/>
      </c>
      <c r="V83" s="21">
        <f>$J83*VLOOKUP($N83,Assumptions!$A$21:$C$24,3)</f>
        <v/>
      </c>
      <c r="W83" s="21">
        <f>$J83*VLOOKUP($O83,Assumptions!$A$21:$C$24,3)</f>
        <v/>
      </c>
    </row>
    <row r="84">
      <c r="A84" s="8" t="inlineStr">
        <is>
          <t>NIWOT HILLS</t>
        </is>
      </c>
      <c r="B84" s="8" t="inlineStr">
        <is>
          <t>DR</t>
        </is>
      </c>
      <c r="C84" s="8" t="inlineStr">
        <is>
          <t>Niwot Hills</t>
        </is>
      </c>
      <c r="D84" s="8" t="inlineStr">
        <is>
          <t>No one</t>
        </is>
      </c>
      <c r="E84" s="8" t="n">
        <v>239.8</v>
      </c>
      <c r="F84" s="20" t="n">
        <v>0.04541666666666667</v>
      </c>
      <c r="G84" s="8" t="n">
        <v>32</v>
      </c>
      <c r="H84" s="21" t="n">
        <v>7673.6</v>
      </c>
      <c r="I84" s="21" t="n"/>
      <c r="J84" s="21">
        <f>H84+IF(I84="",0,I84)</f>
        <v/>
      </c>
      <c r="K84" s="22" t="n">
        <v>70.73</v>
      </c>
      <c r="L84" s="8" t="inlineStr">
        <is>
          <t>Measured</t>
        </is>
      </c>
      <c r="M84" s="22">
        <f>MAX(0,$K84-Assumptions!$B$12*5)</f>
        <v/>
      </c>
      <c r="N84" s="22">
        <f>MAX(0,$K84-Assumptions!$B$12*10)</f>
        <v/>
      </c>
      <c r="O84" s="22">
        <f>MAX(0,$K84-Assumptions!$B$12*16)</f>
        <v/>
      </c>
      <c r="P84" s="8">
        <f>VLOOKUP($K84,Assumptions!$A$21:$B$24,2)</f>
        <v/>
      </c>
      <c r="Q84" s="8">
        <f>VLOOKUP($M84,Assumptions!$A$21:$B$24,2)</f>
        <v/>
      </c>
      <c r="R84" s="8">
        <f>VLOOKUP($N84,Assumptions!$A$21:$B$24,2)</f>
        <v/>
      </c>
      <c r="S84" s="8">
        <f>VLOOKUP($O84,Assumptions!$A$21:$B$24,2)</f>
        <v/>
      </c>
      <c r="T84" s="21">
        <f>$J84*VLOOKUP($K84,Assumptions!$A$21:$C$24,3)</f>
        <v/>
      </c>
      <c r="U84" s="21">
        <f>$J84*VLOOKUP($M84,Assumptions!$A$21:$C$24,3)</f>
        <v/>
      </c>
      <c r="V84" s="21">
        <f>$J84*VLOOKUP($N84,Assumptions!$A$21:$C$24,3)</f>
        <v/>
      </c>
      <c r="W84" s="21">
        <f>$J84*VLOOKUP($O84,Assumptions!$A$21:$C$24,3)</f>
        <v/>
      </c>
    </row>
    <row r="85">
      <c r="A85" s="8" t="inlineStr">
        <is>
          <t>NIWOT HILLS</t>
        </is>
      </c>
      <c r="B85" s="8" t="inlineStr">
        <is>
          <t>DR</t>
        </is>
      </c>
      <c r="C85" s="8" t="inlineStr">
        <is>
          <t>Niwot Hills</t>
        </is>
      </c>
      <c r="D85" s="8" t="inlineStr">
        <is>
          <t>No one</t>
        </is>
      </c>
      <c r="E85" s="8" t="n">
        <v>1762.6</v>
      </c>
      <c r="F85" s="20" t="n">
        <v>0.3338257575757576</v>
      </c>
      <c r="G85" s="8" t="n">
        <v>32</v>
      </c>
      <c r="H85" s="21" t="n">
        <v>56403.2</v>
      </c>
      <c r="I85" s="21" t="n"/>
      <c r="J85" s="21">
        <f>H85+IF(I85="",0,I85)</f>
        <v/>
      </c>
      <c r="K85" s="22" t="n">
        <v>71.34</v>
      </c>
      <c r="L85" s="8" t="inlineStr">
        <is>
          <t>Measured</t>
        </is>
      </c>
      <c r="M85" s="22">
        <f>MAX(0,$K85-Assumptions!$B$12*5)</f>
        <v/>
      </c>
      <c r="N85" s="22">
        <f>MAX(0,$K85-Assumptions!$B$12*10)</f>
        <v/>
      </c>
      <c r="O85" s="22">
        <f>MAX(0,$K85-Assumptions!$B$12*16)</f>
        <v/>
      </c>
      <c r="P85" s="8">
        <f>VLOOKUP($K85,Assumptions!$A$21:$B$24,2)</f>
        <v/>
      </c>
      <c r="Q85" s="8">
        <f>VLOOKUP($M85,Assumptions!$A$21:$B$24,2)</f>
        <v/>
      </c>
      <c r="R85" s="8">
        <f>VLOOKUP($N85,Assumptions!$A$21:$B$24,2)</f>
        <v/>
      </c>
      <c r="S85" s="8">
        <f>VLOOKUP($O85,Assumptions!$A$21:$B$24,2)</f>
        <v/>
      </c>
      <c r="T85" s="21">
        <f>$J85*VLOOKUP($K85,Assumptions!$A$21:$C$24,3)</f>
        <v/>
      </c>
      <c r="U85" s="21">
        <f>$J85*VLOOKUP($M85,Assumptions!$A$21:$C$24,3)</f>
        <v/>
      </c>
      <c r="V85" s="21">
        <f>$J85*VLOOKUP($N85,Assumptions!$A$21:$C$24,3)</f>
        <v/>
      </c>
      <c r="W85" s="21">
        <f>$J85*VLOOKUP($O85,Assumptions!$A$21:$C$24,3)</f>
        <v/>
      </c>
    </row>
    <row r="86">
      <c r="A86" s="8" t="inlineStr">
        <is>
          <t>NIWOT HILLS</t>
        </is>
      </c>
      <c r="B86" s="8" t="inlineStr">
        <is>
          <t>DR</t>
        </is>
      </c>
      <c r="C86" s="8" t="inlineStr">
        <is>
          <t>Niwot Hills</t>
        </is>
      </c>
      <c r="D86" s="8" t="inlineStr">
        <is>
          <t>No one</t>
        </is>
      </c>
      <c r="E86" s="8" t="n">
        <v>120.5</v>
      </c>
      <c r="F86" s="20" t="n">
        <v>0.0228219696969697</v>
      </c>
      <c r="G86" s="8" t="n">
        <v>32</v>
      </c>
      <c r="H86" s="21" t="n">
        <v>3856</v>
      </c>
      <c r="I86" s="21" t="n"/>
      <c r="J86" s="21">
        <f>H86+IF(I86="",0,I86)</f>
        <v/>
      </c>
      <c r="K86" s="22" t="n">
        <v>79.22</v>
      </c>
      <c r="L86" s="8" t="inlineStr">
        <is>
          <t>Measured</t>
        </is>
      </c>
      <c r="M86" s="22">
        <f>MAX(0,$K86-Assumptions!$B$12*5)</f>
        <v/>
      </c>
      <c r="N86" s="22">
        <f>MAX(0,$K86-Assumptions!$B$12*10)</f>
        <v/>
      </c>
      <c r="O86" s="22">
        <f>MAX(0,$K86-Assumptions!$B$12*16)</f>
        <v/>
      </c>
      <c r="P86" s="8">
        <f>VLOOKUP($K86,Assumptions!$A$21:$B$24,2)</f>
        <v/>
      </c>
      <c r="Q86" s="8">
        <f>VLOOKUP($M86,Assumptions!$A$21:$B$24,2)</f>
        <v/>
      </c>
      <c r="R86" s="8">
        <f>VLOOKUP($N86,Assumptions!$A$21:$B$24,2)</f>
        <v/>
      </c>
      <c r="S86" s="8">
        <f>VLOOKUP($O86,Assumptions!$A$21:$B$24,2)</f>
        <v/>
      </c>
      <c r="T86" s="21">
        <f>$J86*VLOOKUP($K86,Assumptions!$A$21:$C$24,3)</f>
        <v/>
      </c>
      <c r="U86" s="21">
        <f>$J86*VLOOKUP($M86,Assumptions!$A$21:$C$24,3)</f>
        <v/>
      </c>
      <c r="V86" s="21">
        <f>$J86*VLOOKUP($N86,Assumptions!$A$21:$C$24,3)</f>
        <v/>
      </c>
      <c r="W86" s="21">
        <f>$J86*VLOOKUP($O86,Assumptions!$A$21:$C$24,3)</f>
        <v/>
      </c>
    </row>
    <row r="87">
      <c r="A87" s="8" t="inlineStr">
        <is>
          <t>SHOOTING STAR</t>
        </is>
      </c>
      <c r="B87" s="8" t="inlineStr">
        <is>
          <t>CT</t>
        </is>
      </c>
      <c r="C87" s="8" t="inlineStr">
        <is>
          <t>Niwot Hills</t>
        </is>
      </c>
      <c r="D87" s="8" t="inlineStr">
        <is>
          <t>No one</t>
        </is>
      </c>
      <c r="E87" s="8" t="n">
        <v>596</v>
      </c>
      <c r="F87" s="20" t="n">
        <v>0.1128787878787879</v>
      </c>
      <c r="G87" s="8" t="n">
        <v>32</v>
      </c>
      <c r="H87" s="21" t="n">
        <v>19072</v>
      </c>
      <c r="I87" s="21" t="n"/>
      <c r="J87" s="21">
        <f>H87+IF(I87="",0,I87)</f>
        <v/>
      </c>
      <c r="K87" s="22" t="n">
        <v>45.09</v>
      </c>
      <c r="L87" s="8" t="inlineStr">
        <is>
          <t>Measured</t>
        </is>
      </c>
      <c r="M87" s="22">
        <f>MAX(0,$K87-Assumptions!$B$12*5)</f>
        <v/>
      </c>
      <c r="N87" s="22">
        <f>MAX(0,$K87-Assumptions!$B$12*10)</f>
        <v/>
      </c>
      <c r="O87" s="22">
        <f>MAX(0,$K87-Assumptions!$B$12*16)</f>
        <v/>
      </c>
      <c r="P87" s="8">
        <f>VLOOKUP($K87,Assumptions!$A$21:$B$24,2)</f>
        <v/>
      </c>
      <c r="Q87" s="8">
        <f>VLOOKUP($M87,Assumptions!$A$21:$B$24,2)</f>
        <v/>
      </c>
      <c r="R87" s="8">
        <f>VLOOKUP($N87,Assumptions!$A$21:$B$24,2)</f>
        <v/>
      </c>
      <c r="S87" s="8">
        <f>VLOOKUP($O87,Assumptions!$A$21:$B$24,2)</f>
        <v/>
      </c>
      <c r="T87" s="21">
        <f>$J87*VLOOKUP($K87,Assumptions!$A$21:$C$24,3)</f>
        <v/>
      </c>
      <c r="U87" s="21">
        <f>$J87*VLOOKUP($M87,Assumptions!$A$21:$C$24,3)</f>
        <v/>
      </c>
      <c r="V87" s="21">
        <f>$J87*VLOOKUP($N87,Assumptions!$A$21:$C$24,3)</f>
        <v/>
      </c>
      <c r="W87" s="21">
        <f>$J87*VLOOKUP($O87,Assumptions!$A$21:$C$24,3)</f>
        <v/>
      </c>
    </row>
    <row r="88">
      <c r="A88" s="8" t="inlineStr">
        <is>
          <t>Asher</t>
        </is>
      </c>
      <c r="B88" s="8" t="inlineStr">
        <is>
          <t>CT</t>
        </is>
      </c>
      <c r="C88" s="8" t="inlineStr">
        <is>
          <t>Niwot Hills (2026)</t>
        </is>
      </c>
      <c r="D88" s="8" t="inlineStr">
        <is>
          <t>No one</t>
        </is>
      </c>
      <c r="E88" s="8" t="n">
        <v>500</v>
      </c>
      <c r="F88" s="20" t="n">
        <v>0.0946969696969697</v>
      </c>
      <c r="G88" s="8" t="n">
        <v>32</v>
      </c>
      <c r="H88" s="21" t="n">
        <v>16000</v>
      </c>
      <c r="I88" s="21" t="n"/>
      <c r="J88" s="21">
        <f>H88+IF(I88="",0,I88)</f>
        <v/>
      </c>
      <c r="K88" s="22" t="n">
        <v>100</v>
      </c>
      <c r="L88" s="8" t="inlineStr">
        <is>
          <t>Measured</t>
        </is>
      </c>
      <c r="M88" s="22">
        <f>MAX(0,$K88-Assumptions!$B$12*5)</f>
        <v/>
      </c>
      <c r="N88" s="22">
        <f>MAX(0,$K88-Assumptions!$B$12*10)</f>
        <v/>
      </c>
      <c r="O88" s="22">
        <f>MAX(0,$K88-Assumptions!$B$12*16)</f>
        <v/>
      </c>
      <c r="P88" s="8">
        <f>VLOOKUP($K88,Assumptions!$A$21:$B$24,2)</f>
        <v/>
      </c>
      <c r="Q88" s="8">
        <f>VLOOKUP($M88,Assumptions!$A$21:$B$24,2)</f>
        <v/>
      </c>
      <c r="R88" s="8">
        <f>VLOOKUP($N88,Assumptions!$A$21:$B$24,2)</f>
        <v/>
      </c>
      <c r="S88" s="8">
        <f>VLOOKUP($O88,Assumptions!$A$21:$B$24,2)</f>
        <v/>
      </c>
      <c r="T88" s="21">
        <f>$J88*VLOOKUP($K88,Assumptions!$A$21:$C$24,3)</f>
        <v/>
      </c>
      <c r="U88" s="21">
        <f>$J88*VLOOKUP($M88,Assumptions!$A$21:$C$24,3)</f>
        <v/>
      </c>
      <c r="V88" s="21">
        <f>$J88*VLOOKUP($N88,Assumptions!$A$21:$C$24,3)</f>
        <v/>
      </c>
      <c r="W88" s="21">
        <f>$J88*VLOOKUP($O88,Assumptions!$A$21:$C$24,3)</f>
        <v/>
      </c>
    </row>
    <row r="89">
      <c r="A89" s="8" t="inlineStr">
        <is>
          <t>Niwot Hills</t>
        </is>
      </c>
      <c r="B89" s="8" t="inlineStr">
        <is>
          <t>DR</t>
        </is>
      </c>
      <c r="C89" s="8" t="inlineStr">
        <is>
          <t>Niwot Hills (2026)</t>
        </is>
      </c>
      <c r="D89" s="8" t="inlineStr">
        <is>
          <t>No one</t>
        </is>
      </c>
      <c r="E89" s="8" t="n">
        <v>1900</v>
      </c>
      <c r="F89" s="20" t="n">
        <v>0.36</v>
      </c>
      <c r="G89" s="8" t="n">
        <v>32</v>
      </c>
      <c r="H89" s="21" t="n">
        <v>60825.6</v>
      </c>
      <c r="I89" s="21" t="n"/>
      <c r="J89" s="21">
        <f>H89+IF(I89="",0,I89)</f>
        <v/>
      </c>
      <c r="K89" s="22" t="n">
        <v>100</v>
      </c>
      <c r="L89" s="8" t="inlineStr">
        <is>
          <t>Measured</t>
        </is>
      </c>
      <c r="M89" s="22">
        <f>MAX(0,$K89-Assumptions!$B$12*5)</f>
        <v/>
      </c>
      <c r="N89" s="22">
        <f>MAX(0,$K89-Assumptions!$B$12*10)</f>
        <v/>
      </c>
      <c r="O89" s="22">
        <f>MAX(0,$K89-Assumptions!$B$12*16)</f>
        <v/>
      </c>
      <c r="P89" s="8">
        <f>VLOOKUP($K89,Assumptions!$A$21:$B$24,2)</f>
        <v/>
      </c>
      <c r="Q89" s="8">
        <f>VLOOKUP($M89,Assumptions!$A$21:$B$24,2)</f>
        <v/>
      </c>
      <c r="R89" s="8">
        <f>VLOOKUP($N89,Assumptions!$A$21:$B$24,2)</f>
        <v/>
      </c>
      <c r="S89" s="8">
        <f>VLOOKUP($O89,Assumptions!$A$21:$B$24,2)</f>
        <v/>
      </c>
      <c r="T89" s="21">
        <f>$J89*VLOOKUP($K89,Assumptions!$A$21:$C$24,3)</f>
        <v/>
      </c>
      <c r="U89" s="21">
        <f>$J89*VLOOKUP($M89,Assumptions!$A$21:$C$24,3)</f>
        <v/>
      </c>
      <c r="V89" s="21">
        <f>$J89*VLOOKUP($N89,Assumptions!$A$21:$C$24,3)</f>
        <v/>
      </c>
      <c r="W89" s="21">
        <f>$J89*VLOOKUP($O89,Assumptions!$A$21:$C$24,3)</f>
        <v/>
      </c>
    </row>
    <row r="90">
      <c r="A90" s="8" t="inlineStr">
        <is>
          <t>Jacqueline</t>
        </is>
      </c>
      <c r="B90" s="8" t="inlineStr">
        <is>
          <t>CT</t>
        </is>
      </c>
      <c r="C90" s="8" t="inlineStr">
        <is>
          <t>Niwot Hills (2026)</t>
        </is>
      </c>
      <c r="D90" s="8" t="inlineStr">
        <is>
          <t>No one</t>
        </is>
      </c>
      <c r="E90" s="8" t="n">
        <v>350</v>
      </c>
      <c r="F90" s="20" t="n">
        <v>0.06</v>
      </c>
      <c r="G90" s="8" t="n">
        <v>32</v>
      </c>
      <c r="H90" s="21" t="n">
        <v>10137.6</v>
      </c>
      <c r="I90" s="21" t="n">
        <v>2500</v>
      </c>
      <c r="J90" s="21">
        <f>H90+IF(I90="",0,I90)</f>
        <v/>
      </c>
      <c r="K90" s="22" t="n">
        <v>100</v>
      </c>
      <c r="L90" s="8" t="inlineStr">
        <is>
          <t>Measured</t>
        </is>
      </c>
      <c r="M90" s="22">
        <f>MAX(0,$K90-Assumptions!$B$12*5)</f>
        <v/>
      </c>
      <c r="N90" s="22">
        <f>MAX(0,$K90-Assumptions!$B$12*10)</f>
        <v/>
      </c>
      <c r="O90" s="22">
        <f>MAX(0,$K90-Assumptions!$B$12*16)</f>
        <v/>
      </c>
      <c r="P90" s="8">
        <f>VLOOKUP($K90,Assumptions!$A$21:$B$24,2)</f>
        <v/>
      </c>
      <c r="Q90" s="8">
        <f>VLOOKUP($M90,Assumptions!$A$21:$B$24,2)</f>
        <v/>
      </c>
      <c r="R90" s="8">
        <f>VLOOKUP($N90,Assumptions!$A$21:$B$24,2)</f>
        <v/>
      </c>
      <c r="S90" s="8">
        <f>VLOOKUP($O90,Assumptions!$A$21:$B$24,2)</f>
        <v/>
      </c>
      <c r="T90" s="21">
        <f>$J90*VLOOKUP($K90,Assumptions!$A$21:$C$24,3)</f>
        <v/>
      </c>
      <c r="U90" s="21">
        <f>$J90*VLOOKUP($M90,Assumptions!$A$21:$C$24,3)</f>
        <v/>
      </c>
      <c r="V90" s="21">
        <f>$J90*VLOOKUP($N90,Assumptions!$A$21:$C$24,3)</f>
        <v/>
      </c>
      <c r="W90" s="21">
        <f>$J90*VLOOKUP($O90,Assumptions!$A$21:$C$24,3)</f>
        <v/>
      </c>
    </row>
    <row r="91">
      <c r="A91" s="8" t="inlineStr">
        <is>
          <t>Blazing Star</t>
        </is>
      </c>
      <c r="B91" s="8" t="inlineStr">
        <is>
          <t>CT</t>
        </is>
      </c>
      <c r="C91" s="8" t="inlineStr">
        <is>
          <t>Niwot Hills (2026)</t>
        </is>
      </c>
      <c r="D91" s="8" t="inlineStr">
        <is>
          <t>No one</t>
        </is>
      </c>
      <c r="E91" s="8" t="n">
        <v>900</v>
      </c>
      <c r="F91" s="20" t="n">
        <v>0.18</v>
      </c>
      <c r="G91" s="8" t="n">
        <v>32</v>
      </c>
      <c r="H91" s="21" t="n">
        <v>30412.8</v>
      </c>
      <c r="I91" s="21" t="n"/>
      <c r="J91" s="21">
        <f>H91+IF(I91="",0,I91)</f>
        <v/>
      </c>
      <c r="K91" s="22" t="n">
        <v>100</v>
      </c>
      <c r="L91" s="8" t="inlineStr">
        <is>
          <t>Measured</t>
        </is>
      </c>
      <c r="M91" s="22">
        <f>MAX(0,$K91-Assumptions!$B$12*5)</f>
        <v/>
      </c>
      <c r="N91" s="22">
        <f>MAX(0,$K91-Assumptions!$B$12*10)</f>
        <v/>
      </c>
      <c r="O91" s="22">
        <f>MAX(0,$K91-Assumptions!$B$12*16)</f>
        <v/>
      </c>
      <c r="P91" s="8">
        <f>VLOOKUP($K91,Assumptions!$A$21:$B$24,2)</f>
        <v/>
      </c>
      <c r="Q91" s="8">
        <f>VLOOKUP($M91,Assumptions!$A$21:$B$24,2)</f>
        <v/>
      </c>
      <c r="R91" s="8">
        <f>VLOOKUP($N91,Assumptions!$A$21:$B$24,2)</f>
        <v/>
      </c>
      <c r="S91" s="8">
        <f>VLOOKUP($O91,Assumptions!$A$21:$B$24,2)</f>
        <v/>
      </c>
      <c r="T91" s="21">
        <f>$J91*VLOOKUP($K91,Assumptions!$A$21:$C$24,3)</f>
        <v/>
      </c>
      <c r="U91" s="21">
        <f>$J91*VLOOKUP($M91,Assumptions!$A$21:$C$24,3)</f>
        <v/>
      </c>
      <c r="V91" s="21">
        <f>$J91*VLOOKUP($N91,Assumptions!$A$21:$C$24,3)</f>
        <v/>
      </c>
      <c r="W91" s="21">
        <f>$J91*VLOOKUP($O91,Assumptions!$A$21:$C$24,3)</f>
        <v/>
      </c>
    </row>
    <row r="92">
      <c r="A92" s="8" t="inlineStr">
        <is>
          <t>ERIN</t>
        </is>
      </c>
      <c r="B92" s="8" t="inlineStr">
        <is>
          <t>CT</t>
        </is>
      </c>
      <c r="C92" s="8" t="inlineStr">
        <is>
          <t>Niwot Meadow Farm</t>
        </is>
      </c>
      <c r="D92" s="8" t="inlineStr">
        <is>
          <t>No one</t>
        </is>
      </c>
      <c r="E92" s="8" t="n">
        <v>914.3</v>
      </c>
      <c r="F92" s="20" t="n">
        <v>0.1731628787878788</v>
      </c>
      <c r="G92" s="8" t="n">
        <v>30</v>
      </c>
      <c r="H92" s="21" t="n">
        <v>27429</v>
      </c>
      <c r="I92" s="21" t="n"/>
      <c r="J92" s="21">
        <f>H92+IF(I92="",0,I92)</f>
        <v/>
      </c>
      <c r="K92" s="22" t="n">
        <v>66.92</v>
      </c>
      <c r="L92" s="8" t="inlineStr">
        <is>
          <t>Measured</t>
        </is>
      </c>
      <c r="M92" s="22">
        <f>MAX(0,$K92-Assumptions!$B$12*5)</f>
        <v/>
      </c>
      <c r="N92" s="22">
        <f>MAX(0,$K92-Assumptions!$B$12*10)</f>
        <v/>
      </c>
      <c r="O92" s="22">
        <f>MAX(0,$K92-Assumptions!$B$12*16)</f>
        <v/>
      </c>
      <c r="P92" s="8">
        <f>VLOOKUP($K92,Assumptions!$A$21:$B$24,2)</f>
        <v/>
      </c>
      <c r="Q92" s="8">
        <f>VLOOKUP($M92,Assumptions!$A$21:$B$24,2)</f>
        <v/>
      </c>
      <c r="R92" s="8">
        <f>VLOOKUP($N92,Assumptions!$A$21:$B$24,2)</f>
        <v/>
      </c>
      <c r="S92" s="8">
        <f>VLOOKUP($O92,Assumptions!$A$21:$B$24,2)</f>
        <v/>
      </c>
      <c r="T92" s="21">
        <f>$J92*VLOOKUP($K92,Assumptions!$A$21:$C$24,3)</f>
        <v/>
      </c>
      <c r="U92" s="21">
        <f>$J92*VLOOKUP($M92,Assumptions!$A$21:$C$24,3)</f>
        <v/>
      </c>
      <c r="V92" s="21">
        <f>$J92*VLOOKUP($N92,Assumptions!$A$21:$C$24,3)</f>
        <v/>
      </c>
      <c r="W92" s="21">
        <f>$J92*VLOOKUP($O92,Assumptions!$A$21:$C$24,3)</f>
        <v/>
      </c>
    </row>
    <row r="93">
      <c r="A93" s="8" t="inlineStr">
        <is>
          <t>LACY</t>
        </is>
      </c>
      <c r="B93" s="8" t="inlineStr">
        <is>
          <t>CT</t>
        </is>
      </c>
      <c r="C93" s="8" t="inlineStr">
        <is>
          <t>Niwot Meadow Farm</t>
        </is>
      </c>
      <c r="D93" s="8" t="inlineStr">
        <is>
          <t>No one</t>
        </is>
      </c>
      <c r="E93" s="8" t="n">
        <v>353.5</v>
      </c>
      <c r="F93" s="20" t="n">
        <v>0.06695075757575758</v>
      </c>
      <c r="G93" s="8" t="n">
        <v>30</v>
      </c>
      <c r="H93" s="21" t="n">
        <v>10605</v>
      </c>
      <c r="I93" s="21" t="n">
        <v>2500</v>
      </c>
      <c r="J93" s="21">
        <f>H93+IF(I93="",0,I93)</f>
        <v/>
      </c>
      <c r="K93" s="22" t="n">
        <v>72.93000000000001</v>
      </c>
      <c r="L93" s="8" t="inlineStr">
        <is>
          <t>Measured</t>
        </is>
      </c>
      <c r="M93" s="22">
        <f>MAX(0,$K93-Assumptions!$B$12*5)</f>
        <v/>
      </c>
      <c r="N93" s="22">
        <f>MAX(0,$K93-Assumptions!$B$12*10)</f>
        <v/>
      </c>
      <c r="O93" s="22">
        <f>MAX(0,$K93-Assumptions!$B$12*16)</f>
        <v/>
      </c>
      <c r="P93" s="8">
        <f>VLOOKUP($K93,Assumptions!$A$21:$B$24,2)</f>
        <v/>
      </c>
      <c r="Q93" s="8">
        <f>VLOOKUP($M93,Assumptions!$A$21:$B$24,2)</f>
        <v/>
      </c>
      <c r="R93" s="8">
        <f>VLOOKUP($N93,Assumptions!$A$21:$B$24,2)</f>
        <v/>
      </c>
      <c r="S93" s="8">
        <f>VLOOKUP($O93,Assumptions!$A$21:$B$24,2)</f>
        <v/>
      </c>
      <c r="T93" s="21">
        <f>$J93*VLOOKUP($K93,Assumptions!$A$21:$C$24,3)</f>
        <v/>
      </c>
      <c r="U93" s="21">
        <f>$J93*VLOOKUP($M93,Assumptions!$A$21:$C$24,3)</f>
        <v/>
      </c>
      <c r="V93" s="21">
        <f>$J93*VLOOKUP($N93,Assumptions!$A$21:$C$24,3)</f>
        <v/>
      </c>
      <c r="W93" s="21">
        <f>$J93*VLOOKUP($O93,Assumptions!$A$21:$C$24,3)</f>
        <v/>
      </c>
    </row>
    <row r="94">
      <c r="A94" s="8" t="inlineStr">
        <is>
          <t>NIWOT MEADOW FARM</t>
        </is>
      </c>
      <c r="B94" s="8" t="inlineStr">
        <is>
          <t>RD</t>
        </is>
      </c>
      <c r="C94" s="8" t="inlineStr">
        <is>
          <t>Niwot Meadow Farm</t>
        </is>
      </c>
      <c r="D94" s="8" t="inlineStr">
        <is>
          <t>No one</t>
        </is>
      </c>
      <c r="E94" s="8" t="n">
        <v>254</v>
      </c>
      <c r="F94" s="20" t="n">
        <v>0.0481060606060606</v>
      </c>
      <c r="G94" s="8" t="n">
        <v>30</v>
      </c>
      <c r="H94" s="21" t="n">
        <v>7620</v>
      </c>
      <c r="I94" s="21" t="n"/>
      <c r="J94" s="21">
        <f>H94+IF(I94="",0,I94)</f>
        <v/>
      </c>
      <c r="K94" s="22" t="n">
        <v>64.91</v>
      </c>
      <c r="L94" s="8" t="inlineStr">
        <is>
          <t>Measured</t>
        </is>
      </c>
      <c r="M94" s="22">
        <f>MAX(0,$K94-Assumptions!$B$12*5)</f>
        <v/>
      </c>
      <c r="N94" s="22">
        <f>MAX(0,$K94-Assumptions!$B$12*10)</f>
        <v/>
      </c>
      <c r="O94" s="22">
        <f>MAX(0,$K94-Assumptions!$B$12*16)</f>
        <v/>
      </c>
      <c r="P94" s="8">
        <f>VLOOKUP($K94,Assumptions!$A$21:$B$24,2)</f>
        <v/>
      </c>
      <c r="Q94" s="8">
        <f>VLOOKUP($M94,Assumptions!$A$21:$B$24,2)</f>
        <v/>
      </c>
      <c r="R94" s="8">
        <f>VLOOKUP($N94,Assumptions!$A$21:$B$24,2)</f>
        <v/>
      </c>
      <c r="S94" s="8">
        <f>VLOOKUP($O94,Assumptions!$A$21:$B$24,2)</f>
        <v/>
      </c>
      <c r="T94" s="21">
        <f>$J94*VLOOKUP($K94,Assumptions!$A$21:$C$24,3)</f>
        <v/>
      </c>
      <c r="U94" s="21">
        <f>$J94*VLOOKUP($M94,Assumptions!$A$21:$C$24,3)</f>
        <v/>
      </c>
      <c r="V94" s="21">
        <f>$J94*VLOOKUP($N94,Assumptions!$A$21:$C$24,3)</f>
        <v/>
      </c>
      <c r="W94" s="21">
        <f>$J94*VLOOKUP($O94,Assumptions!$A$21:$C$24,3)</f>
        <v/>
      </c>
    </row>
    <row r="95">
      <c r="A95" s="8" t="inlineStr">
        <is>
          <t>NIWOT MEADOW FARM</t>
        </is>
      </c>
      <c r="B95" s="8" t="inlineStr">
        <is>
          <t>RD</t>
        </is>
      </c>
      <c r="C95" s="8" t="inlineStr">
        <is>
          <t>Niwot Meadow Farm</t>
        </is>
      </c>
      <c r="D95" s="8" t="inlineStr">
        <is>
          <t>No one</t>
        </is>
      </c>
      <c r="E95" s="8" t="n">
        <v>1941.9</v>
      </c>
      <c r="F95" s="20" t="n">
        <v>0.3677840909090909</v>
      </c>
      <c r="G95" s="8" t="n">
        <v>30</v>
      </c>
      <c r="H95" s="21" t="n">
        <v>58257</v>
      </c>
      <c r="I95" s="21" t="n"/>
      <c r="J95" s="21">
        <f>H95+IF(I95="",0,I95)</f>
        <v/>
      </c>
      <c r="K95" s="22" t="n">
        <v>69.37</v>
      </c>
      <c r="L95" s="8" t="inlineStr">
        <is>
          <t>Measured</t>
        </is>
      </c>
      <c r="M95" s="22">
        <f>MAX(0,$K95-Assumptions!$B$12*5)</f>
        <v/>
      </c>
      <c r="N95" s="22">
        <f>MAX(0,$K95-Assumptions!$B$12*10)</f>
        <v/>
      </c>
      <c r="O95" s="22">
        <f>MAX(0,$K95-Assumptions!$B$12*16)</f>
        <v/>
      </c>
      <c r="P95" s="8">
        <f>VLOOKUP($K95,Assumptions!$A$21:$B$24,2)</f>
        <v/>
      </c>
      <c r="Q95" s="8">
        <f>VLOOKUP($M95,Assumptions!$A$21:$B$24,2)</f>
        <v/>
      </c>
      <c r="R95" s="8">
        <f>VLOOKUP($N95,Assumptions!$A$21:$B$24,2)</f>
        <v/>
      </c>
      <c r="S95" s="8">
        <f>VLOOKUP($O95,Assumptions!$A$21:$B$24,2)</f>
        <v/>
      </c>
      <c r="T95" s="21">
        <f>$J95*VLOOKUP($K95,Assumptions!$A$21:$C$24,3)</f>
        <v/>
      </c>
      <c r="U95" s="21">
        <f>$J95*VLOOKUP($M95,Assumptions!$A$21:$C$24,3)</f>
        <v/>
      </c>
      <c r="V95" s="21">
        <f>$J95*VLOOKUP($N95,Assumptions!$A$21:$C$24,3)</f>
        <v/>
      </c>
      <c r="W95" s="21">
        <f>$J95*VLOOKUP($O95,Assumptions!$A$21:$C$24,3)</f>
        <v/>
      </c>
    </row>
    <row r="96">
      <c r="A96" s="8" t="inlineStr">
        <is>
          <t>NIWOT MEADOW FARM</t>
        </is>
      </c>
      <c r="B96" s="8" t="inlineStr">
        <is>
          <t>RD</t>
        </is>
      </c>
      <c r="C96" s="8" t="inlineStr">
        <is>
          <t>Niwot Meadow Farm</t>
        </is>
      </c>
      <c r="D96" s="8" t="inlineStr">
        <is>
          <t>No one</t>
        </is>
      </c>
      <c r="E96" s="8" t="n">
        <v>255</v>
      </c>
      <c r="F96" s="20" t="n">
        <v>0.04829545454545454</v>
      </c>
      <c r="G96" s="8" t="n">
        <v>54</v>
      </c>
      <c r="H96" s="21" t="n">
        <v>13770</v>
      </c>
      <c r="I96" s="21" t="n"/>
      <c r="J96" s="21">
        <f>H96+IF(I96="",0,I96)</f>
        <v/>
      </c>
      <c r="K96" s="22" t="n">
        <v>71.87</v>
      </c>
      <c r="L96" s="8" t="inlineStr">
        <is>
          <t>Measured</t>
        </is>
      </c>
      <c r="M96" s="22">
        <f>MAX(0,$K96-Assumptions!$B$12*5)</f>
        <v/>
      </c>
      <c r="N96" s="22">
        <f>MAX(0,$K96-Assumptions!$B$12*10)</f>
        <v/>
      </c>
      <c r="O96" s="22">
        <f>MAX(0,$K96-Assumptions!$B$12*16)</f>
        <v/>
      </c>
      <c r="P96" s="8">
        <f>VLOOKUP($K96,Assumptions!$A$21:$B$24,2)</f>
        <v/>
      </c>
      <c r="Q96" s="8">
        <f>VLOOKUP($M96,Assumptions!$A$21:$B$24,2)</f>
        <v/>
      </c>
      <c r="R96" s="8">
        <f>VLOOKUP($N96,Assumptions!$A$21:$B$24,2)</f>
        <v/>
      </c>
      <c r="S96" s="8">
        <f>VLOOKUP($O96,Assumptions!$A$21:$B$24,2)</f>
        <v/>
      </c>
      <c r="T96" s="21">
        <f>$J96*VLOOKUP($K96,Assumptions!$A$21:$C$24,3)</f>
        <v/>
      </c>
      <c r="U96" s="21">
        <f>$J96*VLOOKUP($M96,Assumptions!$A$21:$C$24,3)</f>
        <v/>
      </c>
      <c r="V96" s="21">
        <f>$J96*VLOOKUP($N96,Assumptions!$A$21:$C$24,3)</f>
        <v/>
      </c>
      <c r="W96" s="21">
        <f>$J96*VLOOKUP($O96,Assumptions!$A$21:$C$24,3)</f>
        <v/>
      </c>
    </row>
    <row r="97">
      <c r="A97" s="8" t="inlineStr">
        <is>
          <t>1ST</t>
        </is>
      </c>
      <c r="B97" s="8" t="inlineStr">
        <is>
          <t>AVE</t>
        </is>
      </c>
      <c r="C97" s="8" t="inlineStr">
        <is>
          <t>Old Town Niwot</t>
        </is>
      </c>
      <c r="D97" s="8" t="inlineStr">
        <is>
          <t>No one</t>
        </is>
      </c>
      <c r="E97" s="8" t="n">
        <v>351.4</v>
      </c>
      <c r="F97" s="20" t="n">
        <v>0.06655303030303029</v>
      </c>
      <c r="G97" s="8" t="n">
        <v>20</v>
      </c>
      <c r="H97" s="21" t="n">
        <v>7028</v>
      </c>
      <c r="I97" s="21" t="n"/>
      <c r="J97" s="21">
        <f>H97+IF(I97="",0,I97)</f>
        <v/>
      </c>
      <c r="K97" s="22" t="n">
        <v>80.53</v>
      </c>
      <c r="L97" s="8" t="inlineStr">
        <is>
          <t>Measured</t>
        </is>
      </c>
      <c r="M97" s="22">
        <f>MAX(0,$K97-Assumptions!$B$12*5)</f>
        <v/>
      </c>
      <c r="N97" s="22">
        <f>MAX(0,$K97-Assumptions!$B$12*10)</f>
        <v/>
      </c>
      <c r="O97" s="22">
        <f>MAX(0,$K97-Assumptions!$B$12*16)</f>
        <v/>
      </c>
      <c r="P97" s="8">
        <f>VLOOKUP($K97,Assumptions!$A$21:$B$24,2)</f>
        <v/>
      </c>
      <c r="Q97" s="8">
        <f>VLOOKUP($M97,Assumptions!$A$21:$B$24,2)</f>
        <v/>
      </c>
      <c r="R97" s="8">
        <f>VLOOKUP($N97,Assumptions!$A$21:$B$24,2)</f>
        <v/>
      </c>
      <c r="S97" s="8">
        <f>VLOOKUP($O97,Assumptions!$A$21:$B$24,2)</f>
        <v/>
      </c>
      <c r="T97" s="21">
        <f>$J97*VLOOKUP($K97,Assumptions!$A$21:$C$24,3)</f>
        <v/>
      </c>
      <c r="U97" s="21">
        <f>$J97*VLOOKUP($M97,Assumptions!$A$21:$C$24,3)</f>
        <v/>
      </c>
      <c r="V97" s="21">
        <f>$J97*VLOOKUP($N97,Assumptions!$A$21:$C$24,3)</f>
        <v/>
      </c>
      <c r="W97" s="21">
        <f>$J97*VLOOKUP($O97,Assumptions!$A$21:$C$24,3)</f>
        <v/>
      </c>
    </row>
    <row r="98">
      <c r="A98" s="8" t="inlineStr">
        <is>
          <t>3RD</t>
        </is>
      </c>
      <c r="B98" s="8" t="inlineStr">
        <is>
          <t>AVE</t>
        </is>
      </c>
      <c r="C98" s="8" t="inlineStr">
        <is>
          <t>Old Town Niwot</t>
        </is>
      </c>
      <c r="D98" s="8" t="inlineStr">
        <is>
          <t>No one</t>
        </is>
      </c>
      <c r="E98" s="8" t="n">
        <v>1061.2</v>
      </c>
      <c r="F98" s="20" t="n">
        <v>0.2009848484848485</v>
      </c>
      <c r="G98" s="8" t="n">
        <v>24</v>
      </c>
      <c r="H98" s="21" t="n">
        <v>25468.8</v>
      </c>
      <c r="I98" s="21" t="n"/>
      <c r="J98" s="21">
        <f>H98+IF(I98="",0,I98)</f>
        <v/>
      </c>
      <c r="K98" s="22" t="n">
        <v>80.39</v>
      </c>
      <c r="L98" s="8" t="inlineStr">
        <is>
          <t>Measured</t>
        </is>
      </c>
      <c r="M98" s="22">
        <f>MAX(0,$K98-Assumptions!$B$12*5)</f>
        <v/>
      </c>
      <c r="N98" s="22">
        <f>MAX(0,$K98-Assumptions!$B$12*10)</f>
        <v/>
      </c>
      <c r="O98" s="22">
        <f>MAX(0,$K98-Assumptions!$B$12*16)</f>
        <v/>
      </c>
      <c r="P98" s="8">
        <f>VLOOKUP($K98,Assumptions!$A$21:$B$24,2)</f>
        <v/>
      </c>
      <c r="Q98" s="8">
        <f>VLOOKUP($M98,Assumptions!$A$21:$B$24,2)</f>
        <v/>
      </c>
      <c r="R98" s="8">
        <f>VLOOKUP($N98,Assumptions!$A$21:$B$24,2)</f>
        <v/>
      </c>
      <c r="S98" s="8">
        <f>VLOOKUP($O98,Assumptions!$A$21:$B$24,2)</f>
        <v/>
      </c>
      <c r="T98" s="21">
        <f>$J98*VLOOKUP($K98,Assumptions!$A$21:$C$24,3)</f>
        <v/>
      </c>
      <c r="U98" s="21">
        <f>$J98*VLOOKUP($M98,Assumptions!$A$21:$C$24,3)</f>
        <v/>
      </c>
      <c r="V98" s="21">
        <f>$J98*VLOOKUP($N98,Assumptions!$A$21:$C$24,3)</f>
        <v/>
      </c>
      <c r="W98" s="21">
        <f>$J98*VLOOKUP($O98,Assumptions!$A$21:$C$24,3)</f>
        <v/>
      </c>
    </row>
    <row r="99">
      <c r="A99" s="8" t="inlineStr">
        <is>
          <t>4TH</t>
        </is>
      </c>
      <c r="B99" s="8" t="inlineStr">
        <is>
          <t>AVE</t>
        </is>
      </c>
      <c r="C99" s="8" t="inlineStr">
        <is>
          <t>Old Town Niwot</t>
        </is>
      </c>
      <c r="D99" s="8" t="inlineStr">
        <is>
          <t>No one</t>
        </is>
      </c>
      <c r="E99" s="8" t="n">
        <v>757.2</v>
      </c>
      <c r="F99" s="20" t="n">
        <v>0.1434090909090909</v>
      </c>
      <c r="G99" s="8" t="n">
        <v>24</v>
      </c>
      <c r="H99" s="21" t="n">
        <v>18172.8</v>
      </c>
      <c r="I99" s="21" t="n"/>
      <c r="J99" s="21">
        <f>H99+IF(I99="",0,I99)</f>
        <v/>
      </c>
      <c r="K99" s="22" t="n">
        <v>88.52</v>
      </c>
      <c r="L99" s="8" t="inlineStr">
        <is>
          <t>Measured</t>
        </is>
      </c>
      <c r="M99" s="22">
        <f>MAX(0,$K99-Assumptions!$B$12*5)</f>
        <v/>
      </c>
      <c r="N99" s="22">
        <f>MAX(0,$K99-Assumptions!$B$12*10)</f>
        <v/>
      </c>
      <c r="O99" s="22">
        <f>MAX(0,$K99-Assumptions!$B$12*16)</f>
        <v/>
      </c>
      <c r="P99" s="8">
        <f>VLOOKUP($K99,Assumptions!$A$21:$B$24,2)</f>
        <v/>
      </c>
      <c r="Q99" s="8">
        <f>VLOOKUP($M99,Assumptions!$A$21:$B$24,2)</f>
        <v/>
      </c>
      <c r="R99" s="8">
        <f>VLOOKUP($N99,Assumptions!$A$21:$B$24,2)</f>
        <v/>
      </c>
      <c r="S99" s="8">
        <f>VLOOKUP($O99,Assumptions!$A$21:$B$24,2)</f>
        <v/>
      </c>
      <c r="T99" s="21">
        <f>$J99*VLOOKUP($K99,Assumptions!$A$21:$C$24,3)</f>
        <v/>
      </c>
      <c r="U99" s="21">
        <f>$J99*VLOOKUP($M99,Assumptions!$A$21:$C$24,3)</f>
        <v/>
      </c>
      <c r="V99" s="21">
        <f>$J99*VLOOKUP($N99,Assumptions!$A$21:$C$24,3)</f>
        <v/>
      </c>
      <c r="W99" s="21">
        <f>$J99*VLOOKUP($O99,Assumptions!$A$21:$C$24,3)</f>
        <v/>
      </c>
    </row>
    <row r="100">
      <c r="A100" s="8" t="inlineStr">
        <is>
          <t>5TH</t>
        </is>
      </c>
      <c r="B100" s="8" t="inlineStr">
        <is>
          <t>AVE</t>
        </is>
      </c>
      <c r="C100" s="8" t="inlineStr">
        <is>
          <t>Old Town Niwot</t>
        </is>
      </c>
      <c r="D100" s="8" t="inlineStr">
        <is>
          <t>No one</t>
        </is>
      </c>
      <c r="E100" s="8" t="n">
        <v>389.8</v>
      </c>
      <c r="F100" s="20" t="n">
        <v>0.07382575757575757</v>
      </c>
      <c r="G100" s="8" t="n">
        <v>24</v>
      </c>
      <c r="H100" s="21" t="n">
        <v>9355.199999999999</v>
      </c>
      <c r="I100" s="21" t="n"/>
      <c r="J100" s="21">
        <f>H100+IF(I100="",0,I100)</f>
        <v/>
      </c>
      <c r="K100" s="22" t="n">
        <v>89.04000000000001</v>
      </c>
      <c r="L100" s="8" t="inlineStr">
        <is>
          <t>Measured</t>
        </is>
      </c>
      <c r="M100" s="22">
        <f>MAX(0,$K100-Assumptions!$B$12*5)</f>
        <v/>
      </c>
      <c r="N100" s="22">
        <f>MAX(0,$K100-Assumptions!$B$12*10)</f>
        <v/>
      </c>
      <c r="O100" s="22">
        <f>MAX(0,$K100-Assumptions!$B$12*16)</f>
        <v/>
      </c>
      <c r="P100" s="8">
        <f>VLOOKUP($K100,Assumptions!$A$21:$B$24,2)</f>
        <v/>
      </c>
      <c r="Q100" s="8">
        <f>VLOOKUP($M100,Assumptions!$A$21:$B$24,2)</f>
        <v/>
      </c>
      <c r="R100" s="8">
        <f>VLOOKUP($N100,Assumptions!$A$21:$B$24,2)</f>
        <v/>
      </c>
      <c r="S100" s="8">
        <f>VLOOKUP($O100,Assumptions!$A$21:$B$24,2)</f>
        <v/>
      </c>
      <c r="T100" s="21">
        <f>$J100*VLOOKUP($K100,Assumptions!$A$21:$C$24,3)</f>
        <v/>
      </c>
      <c r="U100" s="21">
        <f>$J100*VLOOKUP($M100,Assumptions!$A$21:$C$24,3)</f>
        <v/>
      </c>
      <c r="V100" s="21">
        <f>$J100*VLOOKUP($N100,Assumptions!$A$21:$C$24,3)</f>
        <v/>
      </c>
      <c r="W100" s="21">
        <f>$J100*VLOOKUP($O100,Assumptions!$A$21:$C$24,3)</f>
        <v/>
      </c>
    </row>
    <row r="101">
      <c r="A101" s="8" t="inlineStr">
        <is>
          <t>MURRAY</t>
        </is>
      </c>
      <c r="B101" s="8" t="inlineStr">
        <is>
          <t>ST</t>
        </is>
      </c>
      <c r="C101" s="8" t="inlineStr">
        <is>
          <t>Old Town Niwot</t>
        </is>
      </c>
      <c r="D101" s="8" t="inlineStr">
        <is>
          <t>No one</t>
        </is>
      </c>
      <c r="E101" s="8" t="n">
        <v>1836.2</v>
      </c>
      <c r="F101" s="20" t="n">
        <v>0.3477651515151515</v>
      </c>
      <c r="G101" s="8" t="n">
        <v>20</v>
      </c>
      <c r="H101" s="21" t="n">
        <v>36724</v>
      </c>
      <c r="I101" s="21" t="n"/>
      <c r="J101" s="21">
        <f>H101+IF(I101="",0,I101)</f>
        <v/>
      </c>
      <c r="K101" s="22" t="n">
        <v>78.52</v>
      </c>
      <c r="L101" s="8" t="inlineStr">
        <is>
          <t>Measured</t>
        </is>
      </c>
      <c r="M101" s="22">
        <f>MAX(0,$K101-Assumptions!$B$12*5)</f>
        <v/>
      </c>
      <c r="N101" s="22">
        <f>MAX(0,$K101-Assumptions!$B$12*10)</f>
        <v/>
      </c>
      <c r="O101" s="22">
        <f>MAX(0,$K101-Assumptions!$B$12*16)</f>
        <v/>
      </c>
      <c r="P101" s="8">
        <f>VLOOKUP($K101,Assumptions!$A$21:$B$24,2)</f>
        <v/>
      </c>
      <c r="Q101" s="8">
        <f>VLOOKUP($M101,Assumptions!$A$21:$B$24,2)</f>
        <v/>
      </c>
      <c r="R101" s="8">
        <f>VLOOKUP($N101,Assumptions!$A$21:$B$24,2)</f>
        <v/>
      </c>
      <c r="S101" s="8">
        <f>VLOOKUP($O101,Assumptions!$A$21:$B$24,2)</f>
        <v/>
      </c>
      <c r="T101" s="21">
        <f>$J101*VLOOKUP($K101,Assumptions!$A$21:$C$24,3)</f>
        <v/>
      </c>
      <c r="U101" s="21">
        <f>$J101*VLOOKUP($M101,Assumptions!$A$21:$C$24,3)</f>
        <v/>
      </c>
      <c r="V101" s="21">
        <f>$J101*VLOOKUP($N101,Assumptions!$A$21:$C$24,3)</f>
        <v/>
      </c>
      <c r="W101" s="21">
        <f>$J101*VLOOKUP($O101,Assumptions!$A$21:$C$24,3)</f>
        <v/>
      </c>
    </row>
    <row r="102">
      <c r="A102" s="8" t="inlineStr">
        <is>
          <t>BONNY BROOK</t>
        </is>
      </c>
      <c r="B102" s="8" t="inlineStr">
        <is>
          <t>CT</t>
        </is>
      </c>
      <c r="C102" s="8" t="inlineStr">
        <is>
          <t>Overbrook</t>
        </is>
      </c>
      <c r="D102" s="8" t="inlineStr">
        <is>
          <t>No one</t>
        </is>
      </c>
      <c r="E102" s="8" t="n">
        <v>431.2</v>
      </c>
      <c r="F102" s="20" t="n">
        <v>0.08166666666666667</v>
      </c>
      <c r="G102" s="8" t="n">
        <v>34</v>
      </c>
      <c r="H102" s="21" t="n">
        <v>14660.8</v>
      </c>
      <c r="I102" s="21" t="n">
        <v>2500</v>
      </c>
      <c r="J102" s="21">
        <f>H102+IF(I102="",0,I102)</f>
        <v/>
      </c>
      <c r="K102" s="22" t="n">
        <v>35.66</v>
      </c>
      <c r="L102" s="8" t="inlineStr">
        <is>
          <t>Measured</t>
        </is>
      </c>
      <c r="M102" s="22">
        <f>MAX(0,$K102-Assumptions!$B$12*5)</f>
        <v/>
      </c>
      <c r="N102" s="22">
        <f>MAX(0,$K102-Assumptions!$B$12*10)</f>
        <v/>
      </c>
      <c r="O102" s="22">
        <f>MAX(0,$K102-Assumptions!$B$12*16)</f>
        <v/>
      </c>
      <c r="P102" s="8">
        <f>VLOOKUP($K102,Assumptions!$A$21:$B$24,2)</f>
        <v/>
      </c>
      <c r="Q102" s="8">
        <f>VLOOKUP($M102,Assumptions!$A$21:$B$24,2)</f>
        <v/>
      </c>
      <c r="R102" s="8">
        <f>VLOOKUP($N102,Assumptions!$A$21:$B$24,2)</f>
        <v/>
      </c>
      <c r="S102" s="8">
        <f>VLOOKUP($O102,Assumptions!$A$21:$B$24,2)</f>
        <v/>
      </c>
      <c r="T102" s="21">
        <f>$J102*VLOOKUP($K102,Assumptions!$A$21:$C$24,3)</f>
        <v/>
      </c>
      <c r="U102" s="21">
        <f>$J102*VLOOKUP($M102,Assumptions!$A$21:$C$24,3)</f>
        <v/>
      </c>
      <c r="V102" s="21">
        <f>$J102*VLOOKUP($N102,Assumptions!$A$21:$C$24,3)</f>
        <v/>
      </c>
      <c r="W102" s="21">
        <f>$J102*VLOOKUP($O102,Assumptions!$A$21:$C$24,3)</f>
        <v/>
      </c>
    </row>
    <row r="103">
      <c r="A103" s="8" t="inlineStr">
        <is>
          <t>GOLD NUGGETT</t>
        </is>
      </c>
      <c r="B103" s="8" t="inlineStr">
        <is>
          <t>DR</t>
        </is>
      </c>
      <c r="C103" s="8" t="inlineStr">
        <is>
          <t>Overbrook</t>
        </is>
      </c>
      <c r="D103" s="8" t="inlineStr">
        <is>
          <t>No one</t>
        </is>
      </c>
      <c r="E103" s="8" t="n">
        <v>1403.1</v>
      </c>
      <c r="F103" s="20" t="n">
        <v>0.2657386363636364</v>
      </c>
      <c r="G103" s="8" t="n">
        <v>34</v>
      </c>
      <c r="H103" s="21" t="n">
        <v>47705.4</v>
      </c>
      <c r="I103" s="21" t="n"/>
      <c r="J103" s="21">
        <f>H103+IF(I103="",0,I103)</f>
        <v/>
      </c>
      <c r="K103" s="22" t="n">
        <v>80.45</v>
      </c>
      <c r="L103" s="8" t="inlineStr">
        <is>
          <t>Measured</t>
        </is>
      </c>
      <c r="M103" s="22">
        <f>MAX(0,$K103-Assumptions!$B$12*5)</f>
        <v/>
      </c>
      <c r="N103" s="22">
        <f>MAX(0,$K103-Assumptions!$B$12*10)</f>
        <v/>
      </c>
      <c r="O103" s="22">
        <f>MAX(0,$K103-Assumptions!$B$12*16)</f>
        <v/>
      </c>
      <c r="P103" s="8">
        <f>VLOOKUP($K103,Assumptions!$A$21:$B$24,2)</f>
        <v/>
      </c>
      <c r="Q103" s="8">
        <f>VLOOKUP($M103,Assumptions!$A$21:$B$24,2)</f>
        <v/>
      </c>
      <c r="R103" s="8">
        <f>VLOOKUP($N103,Assumptions!$A$21:$B$24,2)</f>
        <v/>
      </c>
      <c r="S103" s="8">
        <f>VLOOKUP($O103,Assumptions!$A$21:$B$24,2)</f>
        <v/>
      </c>
      <c r="T103" s="21">
        <f>$J103*VLOOKUP($K103,Assumptions!$A$21:$C$24,3)</f>
        <v/>
      </c>
      <c r="U103" s="21">
        <f>$J103*VLOOKUP($M103,Assumptions!$A$21:$C$24,3)</f>
        <v/>
      </c>
      <c r="V103" s="21">
        <f>$J103*VLOOKUP($N103,Assumptions!$A$21:$C$24,3)</f>
        <v/>
      </c>
      <c r="W103" s="21">
        <f>$J103*VLOOKUP($O103,Assumptions!$A$21:$C$24,3)</f>
        <v/>
      </c>
    </row>
    <row r="104">
      <c r="A104" s="8" t="inlineStr">
        <is>
          <t>OVERBROOK</t>
        </is>
      </c>
      <c r="B104" s="8" t="inlineStr">
        <is>
          <t>DR</t>
        </is>
      </c>
      <c r="C104" s="8" t="inlineStr">
        <is>
          <t>Overbrook</t>
        </is>
      </c>
      <c r="D104" s="8" t="inlineStr">
        <is>
          <t>No one</t>
        </is>
      </c>
      <c r="E104" s="8" t="n">
        <v>1570.8</v>
      </c>
      <c r="F104" s="20" t="n">
        <v>0.2975</v>
      </c>
      <c r="G104" s="8" t="n">
        <v>36</v>
      </c>
      <c r="H104" s="21" t="n">
        <v>56548.8</v>
      </c>
      <c r="I104" s="21" t="n"/>
      <c r="J104" s="21">
        <f>H104+IF(I104="",0,I104)</f>
        <v/>
      </c>
      <c r="K104" s="22" t="n">
        <v>10.8</v>
      </c>
      <c r="L104" s="8" t="inlineStr">
        <is>
          <t>Measured</t>
        </is>
      </c>
      <c r="M104" s="22">
        <f>MAX(0,$K104-Assumptions!$B$12*5)</f>
        <v/>
      </c>
      <c r="N104" s="22">
        <f>MAX(0,$K104-Assumptions!$B$12*10)</f>
        <v/>
      </c>
      <c r="O104" s="22">
        <f>MAX(0,$K104-Assumptions!$B$12*16)</f>
        <v/>
      </c>
      <c r="P104" s="8">
        <f>VLOOKUP($K104,Assumptions!$A$21:$B$24,2)</f>
        <v/>
      </c>
      <c r="Q104" s="8">
        <f>VLOOKUP($M104,Assumptions!$A$21:$B$24,2)</f>
        <v/>
      </c>
      <c r="R104" s="8">
        <f>VLOOKUP($N104,Assumptions!$A$21:$B$24,2)</f>
        <v/>
      </c>
      <c r="S104" s="8">
        <f>VLOOKUP($O104,Assumptions!$A$21:$B$24,2)</f>
        <v/>
      </c>
      <c r="T104" s="21">
        <f>$J104*VLOOKUP($K104,Assumptions!$A$21:$C$24,3)</f>
        <v/>
      </c>
      <c r="U104" s="21">
        <f>$J104*VLOOKUP($M104,Assumptions!$A$21:$C$24,3)</f>
        <v/>
      </c>
      <c r="V104" s="21">
        <f>$J104*VLOOKUP($N104,Assumptions!$A$21:$C$24,3)</f>
        <v/>
      </c>
      <c r="W104" s="21">
        <f>$J104*VLOOKUP($O104,Assumptions!$A$21:$C$24,3)</f>
        <v/>
      </c>
    </row>
    <row r="105">
      <c r="A105" s="8" t="inlineStr">
        <is>
          <t>OVERBROOK</t>
        </is>
      </c>
      <c r="B105" s="8" t="inlineStr">
        <is>
          <t>DR</t>
        </is>
      </c>
      <c r="C105" s="8" t="inlineStr">
        <is>
          <t>Overbrook</t>
        </is>
      </c>
      <c r="D105" s="8" t="inlineStr">
        <is>
          <t>No one</t>
        </is>
      </c>
      <c r="E105" s="8" t="n">
        <v>127.1</v>
      </c>
      <c r="F105" s="20" t="n">
        <v>0.0240719696969697</v>
      </c>
      <c r="G105" s="8" t="n">
        <v>36</v>
      </c>
      <c r="H105" s="21" t="n">
        <v>4575.599999999999</v>
      </c>
      <c r="I105" s="21" t="n"/>
      <c r="J105" s="21">
        <f>H105+IF(I105="",0,I105)</f>
        <v/>
      </c>
      <c r="K105" s="22" t="n">
        <v>54.1</v>
      </c>
      <c r="L105" s="8" t="inlineStr">
        <is>
          <t>Measured</t>
        </is>
      </c>
      <c r="M105" s="22">
        <f>MAX(0,$K105-Assumptions!$B$12*5)</f>
        <v/>
      </c>
      <c r="N105" s="22">
        <f>MAX(0,$K105-Assumptions!$B$12*10)</f>
        <v/>
      </c>
      <c r="O105" s="22">
        <f>MAX(0,$K105-Assumptions!$B$12*16)</f>
        <v/>
      </c>
      <c r="P105" s="8">
        <f>VLOOKUP($K105,Assumptions!$A$21:$B$24,2)</f>
        <v/>
      </c>
      <c r="Q105" s="8">
        <f>VLOOKUP($M105,Assumptions!$A$21:$B$24,2)</f>
        <v/>
      </c>
      <c r="R105" s="8">
        <f>VLOOKUP($N105,Assumptions!$A$21:$B$24,2)</f>
        <v/>
      </c>
      <c r="S105" s="8">
        <f>VLOOKUP($O105,Assumptions!$A$21:$B$24,2)</f>
        <v/>
      </c>
      <c r="T105" s="21">
        <f>$J105*VLOOKUP($K105,Assumptions!$A$21:$C$24,3)</f>
        <v/>
      </c>
      <c r="U105" s="21">
        <f>$J105*VLOOKUP($M105,Assumptions!$A$21:$C$24,3)</f>
        <v/>
      </c>
      <c r="V105" s="21">
        <f>$J105*VLOOKUP($N105,Assumptions!$A$21:$C$24,3)</f>
        <v/>
      </c>
      <c r="W105" s="21">
        <f>$J105*VLOOKUP($O105,Assumptions!$A$21:$C$24,3)</f>
        <v/>
      </c>
    </row>
    <row r="106">
      <c r="A106" s="8" t="inlineStr">
        <is>
          <t>OVERBROOK</t>
        </is>
      </c>
      <c r="B106" s="8" t="inlineStr">
        <is>
          <t>DR</t>
        </is>
      </c>
      <c r="C106" s="8" t="inlineStr">
        <is>
          <t>Overbrook</t>
        </is>
      </c>
      <c r="D106" s="8" t="inlineStr">
        <is>
          <t>No one</t>
        </is>
      </c>
      <c r="E106" s="8" t="n">
        <v>127.5</v>
      </c>
      <c r="F106" s="20" t="n">
        <v>0.02414772727272727</v>
      </c>
      <c r="G106" s="8" t="n">
        <v>36</v>
      </c>
      <c r="H106" s="21" t="n">
        <v>4590</v>
      </c>
      <c r="I106" s="21" t="n"/>
      <c r="J106" s="21">
        <f>H106+IF(I106="",0,I106)</f>
        <v/>
      </c>
      <c r="K106" s="22" t="n">
        <v>77.59</v>
      </c>
      <c r="L106" s="8" t="inlineStr">
        <is>
          <t>Measured</t>
        </is>
      </c>
      <c r="M106" s="22">
        <f>MAX(0,$K106-Assumptions!$B$12*5)</f>
        <v/>
      </c>
      <c r="N106" s="22">
        <f>MAX(0,$K106-Assumptions!$B$12*10)</f>
        <v/>
      </c>
      <c r="O106" s="22">
        <f>MAX(0,$K106-Assumptions!$B$12*16)</f>
        <v/>
      </c>
      <c r="P106" s="8">
        <f>VLOOKUP($K106,Assumptions!$A$21:$B$24,2)</f>
        <v/>
      </c>
      <c r="Q106" s="8">
        <f>VLOOKUP($M106,Assumptions!$A$21:$B$24,2)</f>
        <v/>
      </c>
      <c r="R106" s="8">
        <f>VLOOKUP($N106,Assumptions!$A$21:$B$24,2)</f>
        <v/>
      </c>
      <c r="S106" s="8">
        <f>VLOOKUP($O106,Assumptions!$A$21:$B$24,2)</f>
        <v/>
      </c>
      <c r="T106" s="21">
        <f>$J106*VLOOKUP($K106,Assumptions!$A$21:$C$24,3)</f>
        <v/>
      </c>
      <c r="U106" s="21">
        <f>$J106*VLOOKUP($M106,Assumptions!$A$21:$C$24,3)</f>
        <v/>
      </c>
      <c r="V106" s="21">
        <f>$J106*VLOOKUP($N106,Assumptions!$A$21:$C$24,3)</f>
        <v/>
      </c>
      <c r="W106" s="21">
        <f>$J106*VLOOKUP($O106,Assumptions!$A$21:$C$24,3)</f>
        <v/>
      </c>
    </row>
    <row r="107">
      <c r="A107" s="8" t="inlineStr">
        <is>
          <t>PINECONE</t>
        </is>
      </c>
      <c r="B107" s="8" t="inlineStr">
        <is>
          <t>CT</t>
        </is>
      </c>
      <c r="C107" s="8" t="inlineStr">
        <is>
          <t>Overbrook</t>
        </is>
      </c>
      <c r="D107" s="8" t="inlineStr">
        <is>
          <t>No one</t>
        </is>
      </c>
      <c r="E107" s="8" t="n">
        <v>485.9</v>
      </c>
      <c r="F107" s="20" t="n">
        <v>0.09202651515151515</v>
      </c>
      <c r="G107" s="8" t="n">
        <v>32</v>
      </c>
      <c r="H107" s="21" t="n">
        <v>15548.8</v>
      </c>
      <c r="I107" s="21" t="n">
        <v>5000</v>
      </c>
      <c r="J107" s="21">
        <f>H107+IF(I107="",0,I107)</f>
        <v/>
      </c>
      <c r="K107" s="22" t="n">
        <v>16.33</v>
      </c>
      <c r="L107" s="8" t="inlineStr">
        <is>
          <t>Measured</t>
        </is>
      </c>
      <c r="M107" s="22">
        <f>MAX(0,$K107-Assumptions!$B$12*5)</f>
        <v/>
      </c>
      <c r="N107" s="22">
        <f>MAX(0,$K107-Assumptions!$B$12*10)</f>
        <v/>
      </c>
      <c r="O107" s="22">
        <f>MAX(0,$K107-Assumptions!$B$12*16)</f>
        <v/>
      </c>
      <c r="P107" s="8">
        <f>VLOOKUP($K107,Assumptions!$A$21:$B$24,2)</f>
        <v/>
      </c>
      <c r="Q107" s="8">
        <f>VLOOKUP($M107,Assumptions!$A$21:$B$24,2)</f>
        <v/>
      </c>
      <c r="R107" s="8">
        <f>VLOOKUP($N107,Assumptions!$A$21:$B$24,2)</f>
        <v/>
      </c>
      <c r="S107" s="8">
        <f>VLOOKUP($O107,Assumptions!$A$21:$B$24,2)</f>
        <v/>
      </c>
      <c r="T107" s="21">
        <f>$J107*VLOOKUP($K107,Assumptions!$A$21:$C$24,3)</f>
        <v/>
      </c>
      <c r="U107" s="21">
        <f>$J107*VLOOKUP($M107,Assumptions!$A$21:$C$24,3)</f>
        <v/>
      </c>
      <c r="V107" s="21">
        <f>$J107*VLOOKUP($N107,Assumptions!$A$21:$C$24,3)</f>
        <v/>
      </c>
      <c r="W107" s="21">
        <f>$J107*VLOOKUP($O107,Assumptions!$A$21:$C$24,3)</f>
        <v/>
      </c>
    </row>
    <row r="108">
      <c r="A108" s="8" t="inlineStr">
        <is>
          <t>PINECONE</t>
        </is>
      </c>
      <c r="B108" s="8" t="inlineStr">
        <is>
          <t>LN</t>
        </is>
      </c>
      <c r="C108" s="8" t="inlineStr">
        <is>
          <t>Overbrook</t>
        </is>
      </c>
      <c r="D108" s="8" t="inlineStr">
        <is>
          <t>No one</t>
        </is>
      </c>
      <c r="E108" s="8" t="n">
        <v>380.1</v>
      </c>
      <c r="F108" s="20" t="n">
        <v>0.07198863636363637</v>
      </c>
      <c r="G108" s="8" t="n">
        <v>36</v>
      </c>
      <c r="H108" s="21" t="n">
        <v>13683.6</v>
      </c>
      <c r="I108" s="21" t="n"/>
      <c r="J108" s="21">
        <f>H108+IF(I108="",0,I108)</f>
        <v/>
      </c>
      <c r="K108" s="22" t="n">
        <v>6.1</v>
      </c>
      <c r="L108" s="8" t="inlineStr">
        <is>
          <t>Measured</t>
        </is>
      </c>
      <c r="M108" s="22">
        <f>MAX(0,$K108-Assumptions!$B$12*5)</f>
        <v/>
      </c>
      <c r="N108" s="22">
        <f>MAX(0,$K108-Assumptions!$B$12*10)</f>
        <v/>
      </c>
      <c r="O108" s="22">
        <f>MAX(0,$K108-Assumptions!$B$12*16)</f>
        <v/>
      </c>
      <c r="P108" s="8">
        <f>VLOOKUP($K108,Assumptions!$A$21:$B$24,2)</f>
        <v/>
      </c>
      <c r="Q108" s="8">
        <f>VLOOKUP($M108,Assumptions!$A$21:$B$24,2)</f>
        <v/>
      </c>
      <c r="R108" s="8">
        <f>VLOOKUP($N108,Assumptions!$A$21:$B$24,2)</f>
        <v/>
      </c>
      <c r="S108" s="8">
        <f>VLOOKUP($O108,Assumptions!$A$21:$B$24,2)</f>
        <v/>
      </c>
      <c r="T108" s="21">
        <f>$J108*VLOOKUP($K108,Assumptions!$A$21:$C$24,3)</f>
        <v/>
      </c>
      <c r="U108" s="21">
        <f>$J108*VLOOKUP($M108,Assumptions!$A$21:$C$24,3)</f>
        <v/>
      </c>
      <c r="V108" s="21">
        <f>$J108*VLOOKUP($N108,Assumptions!$A$21:$C$24,3)</f>
        <v/>
      </c>
      <c r="W108" s="21">
        <f>$J108*VLOOKUP($O108,Assumptions!$A$21:$C$24,3)</f>
        <v/>
      </c>
    </row>
    <row r="109">
      <c r="A109" s="8" t="inlineStr">
        <is>
          <t>SNOW PEAK</t>
        </is>
      </c>
      <c r="B109" s="8" t="inlineStr">
        <is>
          <t>CT</t>
        </is>
      </c>
      <c r="C109" s="8" t="inlineStr">
        <is>
          <t>Overbrook</t>
        </is>
      </c>
      <c r="D109" s="8" t="inlineStr">
        <is>
          <t>No one</t>
        </is>
      </c>
      <c r="E109" s="8" t="n">
        <v>229.9</v>
      </c>
      <c r="F109" s="20" t="n">
        <v>0.04354166666666667</v>
      </c>
      <c r="G109" s="8" t="n">
        <v>34</v>
      </c>
      <c r="H109" s="21" t="n">
        <v>7816.6</v>
      </c>
      <c r="I109" s="21" t="n">
        <v>2500</v>
      </c>
      <c r="J109" s="21">
        <f>H109+IF(I109="",0,I109)</f>
        <v/>
      </c>
      <c r="K109" s="22" t="n">
        <v>56.31</v>
      </c>
      <c r="L109" s="8" t="inlineStr">
        <is>
          <t>Measured</t>
        </is>
      </c>
      <c r="M109" s="22">
        <f>MAX(0,$K109-Assumptions!$B$12*5)</f>
        <v/>
      </c>
      <c r="N109" s="22">
        <f>MAX(0,$K109-Assumptions!$B$12*10)</f>
        <v/>
      </c>
      <c r="O109" s="22">
        <f>MAX(0,$K109-Assumptions!$B$12*16)</f>
        <v/>
      </c>
      <c r="P109" s="8">
        <f>VLOOKUP($K109,Assumptions!$A$21:$B$24,2)</f>
        <v/>
      </c>
      <c r="Q109" s="8">
        <f>VLOOKUP($M109,Assumptions!$A$21:$B$24,2)</f>
        <v/>
      </c>
      <c r="R109" s="8">
        <f>VLOOKUP($N109,Assumptions!$A$21:$B$24,2)</f>
        <v/>
      </c>
      <c r="S109" s="8">
        <f>VLOOKUP($O109,Assumptions!$A$21:$B$24,2)</f>
        <v/>
      </c>
      <c r="T109" s="21">
        <f>$J109*VLOOKUP($K109,Assumptions!$A$21:$C$24,3)</f>
        <v/>
      </c>
      <c r="U109" s="21">
        <f>$J109*VLOOKUP($M109,Assumptions!$A$21:$C$24,3)</f>
        <v/>
      </c>
      <c r="V109" s="21">
        <f>$J109*VLOOKUP($N109,Assumptions!$A$21:$C$24,3)</f>
        <v/>
      </c>
      <c r="W109" s="21">
        <f>$J109*VLOOKUP($O109,Assumptions!$A$21:$C$24,3)</f>
        <v/>
      </c>
    </row>
    <row r="110">
      <c r="A110" s="8" t="inlineStr">
        <is>
          <t>FOX HUNT</t>
        </is>
      </c>
      <c r="B110" s="8" t="inlineStr">
        <is>
          <t>CT</t>
        </is>
      </c>
      <c r="C110" s="8" t="inlineStr">
        <is>
          <t>Overbrook</t>
        </is>
      </c>
      <c r="D110" s="8" t="inlineStr">
        <is>
          <t>No one</t>
        </is>
      </c>
      <c r="E110" s="8" t="n">
        <v>245.2</v>
      </c>
      <c r="F110" s="20" t="n">
        <v>0.04643939393939394</v>
      </c>
      <c r="G110" s="8" t="n">
        <v>34</v>
      </c>
      <c r="H110" s="21" t="n">
        <v>8336.800000000001</v>
      </c>
      <c r="I110" s="21" t="n">
        <v>2500</v>
      </c>
      <c r="J110" s="21">
        <f>H110+IF(I110="",0,I110)</f>
        <v/>
      </c>
      <c r="K110" s="22" t="n">
        <v>70.84999999999999</v>
      </c>
      <c r="L110" s="8" t="inlineStr">
        <is>
          <t>Measured</t>
        </is>
      </c>
      <c r="M110" s="22">
        <f>MAX(0,$K110-Assumptions!$B$12*5)</f>
        <v/>
      </c>
      <c r="N110" s="22">
        <f>MAX(0,$K110-Assumptions!$B$12*10)</f>
        <v/>
      </c>
      <c r="O110" s="22">
        <f>MAX(0,$K110-Assumptions!$B$12*16)</f>
        <v/>
      </c>
      <c r="P110" s="8">
        <f>VLOOKUP($K110,Assumptions!$A$21:$B$24,2)</f>
        <v/>
      </c>
      <c r="Q110" s="8">
        <f>VLOOKUP($M110,Assumptions!$A$21:$B$24,2)</f>
        <v/>
      </c>
      <c r="R110" s="8">
        <f>VLOOKUP($N110,Assumptions!$A$21:$B$24,2)</f>
        <v/>
      </c>
      <c r="S110" s="8">
        <f>VLOOKUP($O110,Assumptions!$A$21:$B$24,2)</f>
        <v/>
      </c>
      <c r="T110" s="21">
        <f>$J110*VLOOKUP($K110,Assumptions!$A$21:$C$24,3)</f>
        <v/>
      </c>
      <c r="U110" s="21">
        <f>$J110*VLOOKUP($M110,Assumptions!$A$21:$C$24,3)</f>
        <v/>
      </c>
      <c r="V110" s="21">
        <f>$J110*VLOOKUP($N110,Assumptions!$A$21:$C$24,3)</f>
        <v/>
      </c>
      <c r="W110" s="21">
        <f>$J110*VLOOKUP($O110,Assumptions!$A$21:$C$24,3)</f>
        <v/>
      </c>
    </row>
    <row r="111">
      <c r="A111" s="8" t="inlineStr">
        <is>
          <t>SPRING CREEK</t>
        </is>
      </c>
      <c r="B111" s="8" t="inlineStr">
        <is>
          <t>TRL</t>
        </is>
      </c>
      <c r="C111" s="8" t="inlineStr">
        <is>
          <t>Overbrook</t>
        </is>
      </c>
      <c r="D111" s="8" t="inlineStr">
        <is>
          <t>No one</t>
        </is>
      </c>
      <c r="E111" s="8" t="n">
        <v>527.7</v>
      </c>
      <c r="F111" s="20" t="n">
        <v>0.09994318181818182</v>
      </c>
      <c r="G111" s="8" t="n">
        <v>32</v>
      </c>
      <c r="H111" s="21" t="n">
        <v>16886.4</v>
      </c>
      <c r="I111" s="21" t="n"/>
      <c r="J111" s="21">
        <f>H111+IF(I111="",0,I111)</f>
        <v/>
      </c>
      <c r="K111" s="22" t="n">
        <v>62.42</v>
      </c>
      <c r="L111" s="8" t="inlineStr">
        <is>
          <t>Measured</t>
        </is>
      </c>
      <c r="M111" s="22">
        <f>MAX(0,$K111-Assumptions!$B$12*5)</f>
        <v/>
      </c>
      <c r="N111" s="22">
        <f>MAX(0,$K111-Assumptions!$B$12*10)</f>
        <v/>
      </c>
      <c r="O111" s="22">
        <f>MAX(0,$K111-Assumptions!$B$12*16)</f>
        <v/>
      </c>
      <c r="P111" s="8">
        <f>VLOOKUP($K111,Assumptions!$A$21:$B$24,2)</f>
        <v/>
      </c>
      <c r="Q111" s="8">
        <f>VLOOKUP($M111,Assumptions!$A$21:$B$24,2)</f>
        <v/>
      </c>
      <c r="R111" s="8">
        <f>VLOOKUP($N111,Assumptions!$A$21:$B$24,2)</f>
        <v/>
      </c>
      <c r="S111" s="8">
        <f>VLOOKUP($O111,Assumptions!$A$21:$B$24,2)</f>
        <v/>
      </c>
      <c r="T111" s="21">
        <f>$J111*VLOOKUP($K111,Assumptions!$A$21:$C$24,3)</f>
        <v/>
      </c>
      <c r="U111" s="21">
        <f>$J111*VLOOKUP($M111,Assumptions!$A$21:$C$24,3)</f>
        <v/>
      </c>
      <c r="V111" s="21">
        <f>$J111*VLOOKUP($N111,Assumptions!$A$21:$C$24,3)</f>
        <v/>
      </c>
      <c r="W111" s="21">
        <f>$J111*VLOOKUP($O111,Assumptions!$A$21:$C$24,3)</f>
        <v/>
      </c>
    </row>
    <row r="112">
      <c r="A112" s="8" t="inlineStr">
        <is>
          <t>SPRING CREEK</t>
        </is>
      </c>
      <c r="B112" s="8" t="inlineStr">
        <is>
          <t>TRL</t>
        </is>
      </c>
      <c r="C112" s="8" t="inlineStr">
        <is>
          <t>Overbrook</t>
        </is>
      </c>
      <c r="D112" s="8" t="inlineStr">
        <is>
          <t>No one</t>
        </is>
      </c>
      <c r="E112" s="8" t="n">
        <v>1149.4</v>
      </c>
      <c r="F112" s="20" t="n">
        <v>0.217689393939394</v>
      </c>
      <c r="G112" s="8" t="n">
        <v>32</v>
      </c>
      <c r="H112" s="21" t="n">
        <v>36780.8</v>
      </c>
      <c r="I112" s="21" t="n"/>
      <c r="J112" s="21">
        <f>H112+IF(I112="",0,I112)</f>
        <v/>
      </c>
      <c r="K112" s="22" t="n">
        <v>83.63</v>
      </c>
      <c r="L112" s="8" t="inlineStr">
        <is>
          <t>Measured</t>
        </is>
      </c>
      <c r="M112" s="22">
        <f>MAX(0,$K112-Assumptions!$B$12*5)</f>
        <v/>
      </c>
      <c r="N112" s="22">
        <f>MAX(0,$K112-Assumptions!$B$12*10)</f>
        <v/>
      </c>
      <c r="O112" s="22">
        <f>MAX(0,$K112-Assumptions!$B$12*16)</f>
        <v/>
      </c>
      <c r="P112" s="8">
        <f>VLOOKUP($K112,Assumptions!$A$21:$B$24,2)</f>
        <v/>
      </c>
      <c r="Q112" s="8">
        <f>VLOOKUP($M112,Assumptions!$A$21:$B$24,2)</f>
        <v/>
      </c>
      <c r="R112" s="8">
        <f>VLOOKUP($N112,Assumptions!$A$21:$B$24,2)</f>
        <v/>
      </c>
      <c r="S112" s="8">
        <f>VLOOKUP($O112,Assumptions!$A$21:$B$24,2)</f>
        <v/>
      </c>
      <c r="T112" s="21">
        <f>$J112*VLOOKUP($K112,Assumptions!$A$21:$C$24,3)</f>
        <v/>
      </c>
      <c r="U112" s="21">
        <f>$J112*VLOOKUP($M112,Assumptions!$A$21:$C$24,3)</f>
        <v/>
      </c>
      <c r="V112" s="21">
        <f>$J112*VLOOKUP($N112,Assumptions!$A$21:$C$24,3)</f>
        <v/>
      </c>
      <c r="W112" s="21">
        <f>$J112*VLOOKUP($O112,Assumptions!$A$21:$C$24,3)</f>
        <v/>
      </c>
    </row>
    <row r="113">
      <c r="A113" s="8" t="inlineStr">
        <is>
          <t xml:space="preserve">SPRING CREEK </t>
        </is>
      </c>
      <c r="B113" s="8" t="inlineStr">
        <is>
          <t>CIR</t>
        </is>
      </c>
      <c r="C113" s="8" t="inlineStr">
        <is>
          <t>Overbrook</t>
        </is>
      </c>
      <c r="D113" s="8" t="inlineStr">
        <is>
          <t>No one</t>
        </is>
      </c>
      <c r="E113" s="8" t="n">
        <v>1921</v>
      </c>
      <c r="F113" s="20" t="n">
        <v>0.3638257575757576</v>
      </c>
      <c r="G113" s="8" t="n">
        <v>26</v>
      </c>
      <c r="H113" s="21" t="n">
        <v>49946</v>
      </c>
      <c r="I113" s="21" t="n"/>
      <c r="J113" s="21">
        <f>H113+IF(I113="",0,I113)</f>
        <v/>
      </c>
      <c r="K113" s="22" t="n">
        <v>26.09</v>
      </c>
      <c r="L113" s="8" t="inlineStr">
        <is>
          <t>Measured</t>
        </is>
      </c>
      <c r="M113" s="22">
        <f>MAX(0,$K113-Assumptions!$B$12*5)</f>
        <v/>
      </c>
      <c r="N113" s="22">
        <f>MAX(0,$K113-Assumptions!$B$12*10)</f>
        <v/>
      </c>
      <c r="O113" s="22">
        <f>MAX(0,$K113-Assumptions!$B$12*16)</f>
        <v/>
      </c>
      <c r="P113" s="8">
        <f>VLOOKUP($K113,Assumptions!$A$21:$B$24,2)</f>
        <v/>
      </c>
      <c r="Q113" s="8">
        <f>VLOOKUP($M113,Assumptions!$A$21:$B$24,2)</f>
        <v/>
      </c>
      <c r="R113" s="8">
        <f>VLOOKUP($N113,Assumptions!$A$21:$B$24,2)</f>
        <v/>
      </c>
      <c r="S113" s="8">
        <f>VLOOKUP($O113,Assumptions!$A$21:$B$24,2)</f>
        <v/>
      </c>
      <c r="T113" s="21">
        <f>$J113*VLOOKUP($K113,Assumptions!$A$21:$C$24,3)</f>
        <v/>
      </c>
      <c r="U113" s="21">
        <f>$J113*VLOOKUP($M113,Assumptions!$A$21:$C$24,3)</f>
        <v/>
      </c>
      <c r="V113" s="21">
        <f>$J113*VLOOKUP($N113,Assumptions!$A$21:$C$24,3)</f>
        <v/>
      </c>
      <c r="W113" s="21">
        <f>$J113*VLOOKUP($O113,Assumptions!$A$21:$C$24,3)</f>
        <v/>
      </c>
    </row>
    <row r="114">
      <c r="A114" s="8" t="inlineStr">
        <is>
          <t>PEPPERTREE</t>
        </is>
      </c>
      <c r="B114" s="8" t="inlineStr">
        <is>
          <t>CT</t>
        </is>
      </c>
      <c r="C114" s="8" t="inlineStr">
        <is>
          <t>Peppertree Estates</t>
        </is>
      </c>
      <c r="D114" s="8" t="inlineStr">
        <is>
          <t>No one</t>
        </is>
      </c>
      <c r="E114" s="8" t="n">
        <v>151.2</v>
      </c>
      <c r="F114" s="20" t="n">
        <v>0.02863636363636363</v>
      </c>
      <c r="G114" s="8" t="n">
        <v>34</v>
      </c>
      <c r="H114" s="21" t="n">
        <v>5140.799999999999</v>
      </c>
      <c r="I114" s="21" t="n">
        <v>2500</v>
      </c>
      <c r="J114" s="21">
        <f>H114+IF(I114="",0,I114)</f>
        <v/>
      </c>
      <c r="K114" s="22" t="n">
        <v>42.71</v>
      </c>
      <c r="L114" s="8" t="inlineStr">
        <is>
          <t>Measured</t>
        </is>
      </c>
      <c r="M114" s="22">
        <f>MAX(0,$K114-Assumptions!$B$12*5)</f>
        <v/>
      </c>
      <c r="N114" s="22">
        <f>MAX(0,$K114-Assumptions!$B$12*10)</f>
        <v/>
      </c>
      <c r="O114" s="22">
        <f>MAX(0,$K114-Assumptions!$B$12*16)</f>
        <v/>
      </c>
      <c r="P114" s="8">
        <f>VLOOKUP($K114,Assumptions!$A$21:$B$24,2)</f>
        <v/>
      </c>
      <c r="Q114" s="8">
        <f>VLOOKUP($M114,Assumptions!$A$21:$B$24,2)</f>
        <v/>
      </c>
      <c r="R114" s="8">
        <f>VLOOKUP($N114,Assumptions!$A$21:$B$24,2)</f>
        <v/>
      </c>
      <c r="S114" s="8">
        <f>VLOOKUP($O114,Assumptions!$A$21:$B$24,2)</f>
        <v/>
      </c>
      <c r="T114" s="21">
        <f>$J114*VLOOKUP($K114,Assumptions!$A$21:$C$24,3)</f>
        <v/>
      </c>
      <c r="U114" s="21">
        <f>$J114*VLOOKUP($M114,Assumptions!$A$21:$C$24,3)</f>
        <v/>
      </c>
      <c r="V114" s="21">
        <f>$J114*VLOOKUP($N114,Assumptions!$A$21:$C$24,3)</f>
        <v/>
      </c>
      <c r="W114" s="21">
        <f>$J114*VLOOKUP($O114,Assumptions!$A$21:$C$24,3)</f>
        <v/>
      </c>
    </row>
    <row r="115">
      <c r="A115" s="8" t="inlineStr">
        <is>
          <t>PEPPERTREE</t>
        </is>
      </c>
      <c r="B115" s="8" t="inlineStr">
        <is>
          <t>DR</t>
        </is>
      </c>
      <c r="C115" s="8" t="inlineStr">
        <is>
          <t>Peppertree Estates</t>
        </is>
      </c>
      <c r="D115" s="8" t="inlineStr">
        <is>
          <t>No one</t>
        </is>
      </c>
      <c r="E115" s="8" t="n">
        <v>1488.2</v>
      </c>
      <c r="F115" s="20" t="n">
        <v>0.2818560606060606</v>
      </c>
      <c r="G115" s="8" t="n">
        <v>34</v>
      </c>
      <c r="H115" s="21" t="n">
        <v>50598.8</v>
      </c>
      <c r="I115" s="21" t="n">
        <v>2500</v>
      </c>
      <c r="J115" s="21">
        <f>H115+IF(I115="",0,I115)</f>
        <v/>
      </c>
      <c r="K115" s="22" t="n">
        <v>54.28</v>
      </c>
      <c r="L115" s="8" t="inlineStr">
        <is>
          <t>Measured</t>
        </is>
      </c>
      <c r="M115" s="22">
        <f>MAX(0,$K115-Assumptions!$B$12*5)</f>
        <v/>
      </c>
      <c r="N115" s="22">
        <f>MAX(0,$K115-Assumptions!$B$12*10)</f>
        <v/>
      </c>
      <c r="O115" s="22">
        <f>MAX(0,$K115-Assumptions!$B$12*16)</f>
        <v/>
      </c>
      <c r="P115" s="8">
        <f>VLOOKUP($K115,Assumptions!$A$21:$B$24,2)</f>
        <v/>
      </c>
      <c r="Q115" s="8">
        <f>VLOOKUP($M115,Assumptions!$A$21:$B$24,2)</f>
        <v/>
      </c>
      <c r="R115" s="8">
        <f>VLOOKUP($N115,Assumptions!$A$21:$B$24,2)</f>
        <v/>
      </c>
      <c r="S115" s="8">
        <f>VLOOKUP($O115,Assumptions!$A$21:$B$24,2)</f>
        <v/>
      </c>
      <c r="T115" s="21">
        <f>$J115*VLOOKUP($K115,Assumptions!$A$21:$C$24,3)</f>
        <v/>
      </c>
      <c r="U115" s="21">
        <f>$J115*VLOOKUP($M115,Assumptions!$A$21:$C$24,3)</f>
        <v/>
      </c>
      <c r="V115" s="21">
        <f>$J115*VLOOKUP($N115,Assumptions!$A$21:$C$24,3)</f>
        <v/>
      </c>
      <c r="W115" s="21">
        <f>$J115*VLOOKUP($O115,Assumptions!$A$21:$C$24,3)</f>
        <v/>
      </c>
    </row>
    <row r="116">
      <c r="A116" s="8" t="inlineStr">
        <is>
          <t>PEPPERTREE</t>
        </is>
      </c>
      <c r="B116" s="8" t="inlineStr">
        <is>
          <t>LN</t>
        </is>
      </c>
      <c r="C116" s="8" t="inlineStr">
        <is>
          <t>Peppertree Estates</t>
        </is>
      </c>
      <c r="D116" s="8" t="inlineStr">
        <is>
          <t>No one</t>
        </is>
      </c>
      <c r="E116" s="8" t="n">
        <v>167.4</v>
      </c>
      <c r="F116" s="20" t="n">
        <v>0.03170454545454546</v>
      </c>
      <c r="G116" s="8" t="n">
        <v>34</v>
      </c>
      <c r="H116" s="21" t="n">
        <v>5691.6</v>
      </c>
      <c r="I116" s="21" t="n">
        <v>2500</v>
      </c>
      <c r="J116" s="21">
        <f>H116+IF(I116="",0,I116)</f>
        <v/>
      </c>
      <c r="K116" s="22" t="n">
        <v>59.02</v>
      </c>
      <c r="L116" s="8" t="inlineStr">
        <is>
          <t>Measured</t>
        </is>
      </c>
      <c r="M116" s="22">
        <f>MAX(0,$K116-Assumptions!$B$12*5)</f>
        <v/>
      </c>
      <c r="N116" s="22">
        <f>MAX(0,$K116-Assumptions!$B$12*10)</f>
        <v/>
      </c>
      <c r="O116" s="22">
        <f>MAX(0,$K116-Assumptions!$B$12*16)</f>
        <v/>
      </c>
      <c r="P116" s="8">
        <f>VLOOKUP($K116,Assumptions!$A$21:$B$24,2)</f>
        <v/>
      </c>
      <c r="Q116" s="8">
        <f>VLOOKUP($M116,Assumptions!$A$21:$B$24,2)</f>
        <v/>
      </c>
      <c r="R116" s="8">
        <f>VLOOKUP($N116,Assumptions!$A$21:$B$24,2)</f>
        <v/>
      </c>
      <c r="S116" s="8">
        <f>VLOOKUP($O116,Assumptions!$A$21:$B$24,2)</f>
        <v/>
      </c>
      <c r="T116" s="21">
        <f>$J116*VLOOKUP($K116,Assumptions!$A$21:$C$24,3)</f>
        <v/>
      </c>
      <c r="U116" s="21">
        <f>$J116*VLOOKUP($M116,Assumptions!$A$21:$C$24,3)</f>
        <v/>
      </c>
      <c r="V116" s="21">
        <f>$J116*VLOOKUP($N116,Assumptions!$A$21:$C$24,3)</f>
        <v/>
      </c>
      <c r="W116" s="21">
        <f>$J116*VLOOKUP($O116,Assumptions!$A$21:$C$24,3)</f>
        <v/>
      </c>
    </row>
    <row r="117">
      <c r="A117" s="8" t="inlineStr">
        <is>
          <t>MONTE VISTA</t>
        </is>
      </c>
      <c r="B117" s="8" t="inlineStr">
        <is>
          <t>AVE</t>
        </is>
      </c>
      <c r="C117" s="8" t="inlineStr">
        <is>
          <t>Fox Pointe</t>
        </is>
      </c>
      <c r="D117" s="8" t="inlineStr">
        <is>
          <t>No one</t>
        </is>
      </c>
      <c r="E117" s="8" t="n">
        <v>1209.4</v>
      </c>
      <c r="F117" s="20" t="n">
        <v>0.2290530303030303</v>
      </c>
      <c r="G117" s="8" t="n">
        <v>25</v>
      </c>
      <c r="H117" s="21" t="n">
        <v>30235</v>
      </c>
      <c r="I117" s="21" t="n"/>
      <c r="J117" s="21">
        <f>H117+IF(I117="",0,I117)</f>
        <v/>
      </c>
      <c r="K117" s="22" t="n">
        <v>73.31999999999999</v>
      </c>
      <c r="L117" s="8" t="inlineStr">
        <is>
          <t>Measured</t>
        </is>
      </c>
      <c r="M117" s="22">
        <f>MAX(0,$K117-Assumptions!$B$12*5)</f>
        <v/>
      </c>
      <c r="N117" s="22">
        <f>MAX(0,$K117-Assumptions!$B$12*10)</f>
        <v/>
      </c>
      <c r="O117" s="22">
        <f>MAX(0,$K117-Assumptions!$B$12*16)</f>
        <v/>
      </c>
      <c r="P117" s="8">
        <f>VLOOKUP($K117,Assumptions!$A$21:$B$24,2)</f>
        <v/>
      </c>
      <c r="Q117" s="8">
        <f>VLOOKUP($M117,Assumptions!$A$21:$B$24,2)</f>
        <v/>
      </c>
      <c r="R117" s="8">
        <f>VLOOKUP($N117,Assumptions!$A$21:$B$24,2)</f>
        <v/>
      </c>
      <c r="S117" s="8">
        <f>VLOOKUP($O117,Assumptions!$A$21:$B$24,2)</f>
        <v/>
      </c>
      <c r="T117" s="21">
        <f>$J117*VLOOKUP($K117,Assumptions!$A$21:$C$24,3)</f>
        <v/>
      </c>
      <c r="U117" s="21">
        <f>$J117*VLOOKUP($M117,Assumptions!$A$21:$C$24,3)</f>
        <v/>
      </c>
      <c r="V117" s="21">
        <f>$J117*VLOOKUP($N117,Assumptions!$A$21:$C$24,3)</f>
        <v/>
      </c>
      <c r="W117" s="21">
        <f>$J117*VLOOKUP($O117,Assumptions!$A$21:$C$24,3)</f>
        <v/>
      </c>
    </row>
    <row r="118">
      <c r="A118" s="8" t="inlineStr">
        <is>
          <t>GREENWOOD</t>
        </is>
      </c>
      <c r="B118" s="8" t="inlineStr">
        <is>
          <t>DR</t>
        </is>
      </c>
      <c r="C118" s="8" t="inlineStr">
        <is>
          <t>Somerset</t>
        </is>
      </c>
      <c r="D118" s="8" t="inlineStr">
        <is>
          <t>No one</t>
        </is>
      </c>
      <c r="E118" s="8" t="n">
        <v>964.8</v>
      </c>
      <c r="F118" s="20" t="n">
        <v>0.1827272727272727</v>
      </c>
      <c r="G118" s="8" t="n">
        <v>32</v>
      </c>
      <c r="H118" s="21" t="n">
        <v>30873.6</v>
      </c>
      <c r="I118" s="21" t="n"/>
      <c r="J118" s="21">
        <f>H118+IF(I118="",0,I118)</f>
        <v/>
      </c>
      <c r="K118" s="22" t="n">
        <v>11.29</v>
      </c>
      <c r="L118" s="8" t="inlineStr">
        <is>
          <t>Measured</t>
        </is>
      </c>
      <c r="M118" s="22">
        <f>MAX(0,$K118-Assumptions!$B$12*5)</f>
        <v/>
      </c>
      <c r="N118" s="22">
        <f>MAX(0,$K118-Assumptions!$B$12*10)</f>
        <v/>
      </c>
      <c r="O118" s="22">
        <f>MAX(0,$K118-Assumptions!$B$12*16)</f>
        <v/>
      </c>
      <c r="P118" s="8">
        <f>VLOOKUP($K118,Assumptions!$A$21:$B$24,2)</f>
        <v/>
      </c>
      <c r="Q118" s="8">
        <f>VLOOKUP($M118,Assumptions!$A$21:$B$24,2)</f>
        <v/>
      </c>
      <c r="R118" s="8">
        <f>VLOOKUP($N118,Assumptions!$A$21:$B$24,2)</f>
        <v/>
      </c>
      <c r="S118" s="8">
        <f>VLOOKUP($O118,Assumptions!$A$21:$B$24,2)</f>
        <v/>
      </c>
      <c r="T118" s="21">
        <f>$J118*VLOOKUP($K118,Assumptions!$A$21:$C$24,3)</f>
        <v/>
      </c>
      <c r="U118" s="21">
        <f>$J118*VLOOKUP($M118,Assumptions!$A$21:$C$24,3)</f>
        <v/>
      </c>
      <c r="V118" s="21">
        <f>$J118*VLOOKUP($N118,Assumptions!$A$21:$C$24,3)</f>
        <v/>
      </c>
      <c r="W118" s="21">
        <f>$J118*VLOOKUP($O118,Assumptions!$A$21:$C$24,3)</f>
        <v/>
      </c>
    </row>
    <row r="119">
      <c r="A119" s="8" t="inlineStr">
        <is>
          <t>GREENWOOD</t>
        </is>
      </c>
      <c r="B119" s="8" t="inlineStr">
        <is>
          <t>DR</t>
        </is>
      </c>
      <c r="C119" s="8" t="inlineStr">
        <is>
          <t>Somerset</t>
        </is>
      </c>
      <c r="D119" s="8" t="inlineStr">
        <is>
          <t>No one</t>
        </is>
      </c>
      <c r="E119" s="8" t="n">
        <v>287.5</v>
      </c>
      <c r="F119" s="20" t="n">
        <v>0.05445075757575758</v>
      </c>
      <c r="G119" s="8" t="n">
        <v>32</v>
      </c>
      <c r="H119" s="21" t="n">
        <v>9200</v>
      </c>
      <c r="I119" s="21" t="n"/>
      <c r="J119" s="21">
        <f>H119+IF(I119="",0,I119)</f>
        <v/>
      </c>
      <c r="K119" s="22" t="n">
        <v>11.48</v>
      </c>
      <c r="L119" s="8" t="inlineStr">
        <is>
          <t>Measured</t>
        </is>
      </c>
      <c r="M119" s="22">
        <f>MAX(0,$K119-Assumptions!$B$12*5)</f>
        <v/>
      </c>
      <c r="N119" s="22">
        <f>MAX(0,$K119-Assumptions!$B$12*10)</f>
        <v/>
      </c>
      <c r="O119" s="22">
        <f>MAX(0,$K119-Assumptions!$B$12*16)</f>
        <v/>
      </c>
      <c r="P119" s="8">
        <f>VLOOKUP($K119,Assumptions!$A$21:$B$24,2)</f>
        <v/>
      </c>
      <c r="Q119" s="8">
        <f>VLOOKUP($M119,Assumptions!$A$21:$B$24,2)</f>
        <v/>
      </c>
      <c r="R119" s="8">
        <f>VLOOKUP($N119,Assumptions!$A$21:$B$24,2)</f>
        <v/>
      </c>
      <c r="S119" s="8">
        <f>VLOOKUP($O119,Assumptions!$A$21:$B$24,2)</f>
        <v/>
      </c>
      <c r="T119" s="21">
        <f>$J119*VLOOKUP($K119,Assumptions!$A$21:$C$24,3)</f>
        <v/>
      </c>
      <c r="U119" s="21">
        <f>$J119*VLOOKUP($M119,Assumptions!$A$21:$C$24,3)</f>
        <v/>
      </c>
      <c r="V119" s="21">
        <f>$J119*VLOOKUP($N119,Assumptions!$A$21:$C$24,3)</f>
        <v/>
      </c>
      <c r="W119" s="21">
        <f>$J119*VLOOKUP($O119,Assumptions!$A$21:$C$24,3)</f>
        <v/>
      </c>
    </row>
    <row r="120">
      <c r="A120" s="8" t="inlineStr">
        <is>
          <t>GREENWOOD</t>
        </is>
      </c>
      <c r="B120" s="8" t="inlineStr">
        <is>
          <t>DR</t>
        </is>
      </c>
      <c r="C120" s="8" t="inlineStr">
        <is>
          <t>Somerset</t>
        </is>
      </c>
      <c r="D120" s="8" t="inlineStr">
        <is>
          <t>No one</t>
        </is>
      </c>
      <c r="E120" s="8" t="n">
        <v>1900.8</v>
      </c>
      <c r="F120" s="20" t="n">
        <v>0.36</v>
      </c>
      <c r="G120" s="8" t="n">
        <v>32</v>
      </c>
      <c r="H120" s="21" t="n">
        <v>60825.6</v>
      </c>
      <c r="I120" s="21" t="n"/>
      <c r="J120" s="21">
        <f>H120+IF(I120="",0,I120)</f>
        <v/>
      </c>
      <c r="K120" s="22" t="n">
        <v>24.3</v>
      </c>
      <c r="L120" s="8" t="inlineStr">
        <is>
          <t>Measured</t>
        </is>
      </c>
      <c r="M120" s="22">
        <f>MAX(0,$K120-Assumptions!$B$12*5)</f>
        <v/>
      </c>
      <c r="N120" s="22">
        <f>MAX(0,$K120-Assumptions!$B$12*10)</f>
        <v/>
      </c>
      <c r="O120" s="22">
        <f>MAX(0,$K120-Assumptions!$B$12*16)</f>
        <v/>
      </c>
      <c r="P120" s="8">
        <f>VLOOKUP($K120,Assumptions!$A$21:$B$24,2)</f>
        <v/>
      </c>
      <c r="Q120" s="8">
        <f>VLOOKUP($M120,Assumptions!$A$21:$B$24,2)</f>
        <v/>
      </c>
      <c r="R120" s="8">
        <f>VLOOKUP($N120,Assumptions!$A$21:$B$24,2)</f>
        <v/>
      </c>
      <c r="S120" s="8">
        <f>VLOOKUP($O120,Assumptions!$A$21:$B$24,2)</f>
        <v/>
      </c>
      <c r="T120" s="21">
        <f>$J120*VLOOKUP($K120,Assumptions!$A$21:$C$24,3)</f>
        <v/>
      </c>
      <c r="U120" s="21">
        <f>$J120*VLOOKUP($M120,Assumptions!$A$21:$C$24,3)</f>
        <v/>
      </c>
      <c r="V120" s="21">
        <f>$J120*VLOOKUP($N120,Assumptions!$A$21:$C$24,3)</f>
        <v/>
      </c>
      <c r="W120" s="21">
        <f>$J120*VLOOKUP($O120,Assumptions!$A$21:$C$24,3)</f>
        <v/>
      </c>
    </row>
    <row r="121">
      <c r="A121" s="8" t="inlineStr">
        <is>
          <t>GREENWOOD</t>
        </is>
      </c>
      <c r="B121" s="8" t="inlineStr">
        <is>
          <t>DR</t>
        </is>
      </c>
      <c r="C121" s="8" t="inlineStr">
        <is>
          <t>Somerset</t>
        </is>
      </c>
      <c r="D121" s="8" t="inlineStr">
        <is>
          <t>No one</t>
        </is>
      </c>
      <c r="E121" s="8" t="n">
        <v>287.5</v>
      </c>
      <c r="F121" s="20" t="n">
        <v>0.05445075757575758</v>
      </c>
      <c r="G121" s="8" t="n">
        <v>32</v>
      </c>
      <c r="H121" s="21" t="n">
        <v>9200</v>
      </c>
      <c r="I121" s="21" t="n"/>
      <c r="J121" s="21">
        <f>H121+IF(I121="",0,I121)</f>
        <v/>
      </c>
      <c r="K121" s="22" t="n">
        <v>30.83</v>
      </c>
      <c r="L121" s="8" t="inlineStr">
        <is>
          <t>Measured</t>
        </is>
      </c>
      <c r="M121" s="22">
        <f>MAX(0,$K121-Assumptions!$B$12*5)</f>
        <v/>
      </c>
      <c r="N121" s="22">
        <f>MAX(0,$K121-Assumptions!$B$12*10)</f>
        <v/>
      </c>
      <c r="O121" s="22">
        <f>MAX(0,$K121-Assumptions!$B$12*16)</f>
        <v/>
      </c>
      <c r="P121" s="8">
        <f>VLOOKUP($K121,Assumptions!$A$21:$B$24,2)</f>
        <v/>
      </c>
      <c r="Q121" s="8">
        <f>VLOOKUP($M121,Assumptions!$A$21:$B$24,2)</f>
        <v/>
      </c>
      <c r="R121" s="8">
        <f>VLOOKUP($N121,Assumptions!$A$21:$B$24,2)</f>
        <v/>
      </c>
      <c r="S121" s="8">
        <f>VLOOKUP($O121,Assumptions!$A$21:$B$24,2)</f>
        <v/>
      </c>
      <c r="T121" s="21">
        <f>$J121*VLOOKUP($K121,Assumptions!$A$21:$C$24,3)</f>
        <v/>
      </c>
      <c r="U121" s="21">
        <f>$J121*VLOOKUP($M121,Assumptions!$A$21:$C$24,3)</f>
        <v/>
      </c>
      <c r="V121" s="21">
        <f>$J121*VLOOKUP($N121,Assumptions!$A$21:$C$24,3)</f>
        <v/>
      </c>
      <c r="W121" s="21">
        <f>$J121*VLOOKUP($O121,Assumptions!$A$21:$C$24,3)</f>
        <v/>
      </c>
    </row>
    <row r="122">
      <c r="A122" s="8" t="inlineStr">
        <is>
          <t>HAYSTACK</t>
        </is>
      </c>
      <c r="B122" s="8" t="inlineStr">
        <is>
          <t>CT</t>
        </is>
      </c>
      <c r="C122" s="8" t="inlineStr">
        <is>
          <t>Somerset</t>
        </is>
      </c>
      <c r="D122" s="8" t="inlineStr">
        <is>
          <t>No one</t>
        </is>
      </c>
      <c r="E122" s="8" t="n">
        <v>149.3</v>
      </c>
      <c r="F122" s="20" t="n">
        <v>0.02827651515151515</v>
      </c>
      <c r="G122" s="8" t="n">
        <v>80</v>
      </c>
      <c r="H122" s="21" t="n">
        <v>11944</v>
      </c>
      <c r="I122" s="21" t="n"/>
      <c r="J122" s="21">
        <f>H122+IF(I122="",0,I122)</f>
        <v/>
      </c>
      <c r="K122" s="22" t="n">
        <v>0.18</v>
      </c>
      <c r="L122" s="8" t="inlineStr">
        <is>
          <t>Measured</t>
        </is>
      </c>
      <c r="M122" s="22">
        <f>MAX(0,$K122-Assumptions!$B$12*5)</f>
        <v/>
      </c>
      <c r="N122" s="22">
        <f>MAX(0,$K122-Assumptions!$B$12*10)</f>
        <v/>
      </c>
      <c r="O122" s="22">
        <f>MAX(0,$K122-Assumptions!$B$12*16)</f>
        <v/>
      </c>
      <c r="P122" s="8">
        <f>VLOOKUP($K122,Assumptions!$A$21:$B$24,2)</f>
        <v/>
      </c>
      <c r="Q122" s="8">
        <f>VLOOKUP($M122,Assumptions!$A$21:$B$24,2)</f>
        <v/>
      </c>
      <c r="R122" s="8">
        <f>VLOOKUP($N122,Assumptions!$A$21:$B$24,2)</f>
        <v/>
      </c>
      <c r="S122" s="8">
        <f>VLOOKUP($O122,Assumptions!$A$21:$B$24,2)</f>
        <v/>
      </c>
      <c r="T122" s="21">
        <f>$J122*VLOOKUP($K122,Assumptions!$A$21:$C$24,3)</f>
        <v/>
      </c>
      <c r="U122" s="21">
        <f>$J122*VLOOKUP($M122,Assumptions!$A$21:$C$24,3)</f>
        <v/>
      </c>
      <c r="V122" s="21">
        <f>$J122*VLOOKUP($N122,Assumptions!$A$21:$C$24,3)</f>
        <v/>
      </c>
      <c r="W122" s="21">
        <f>$J122*VLOOKUP($O122,Assumptions!$A$21:$C$24,3)</f>
        <v/>
      </c>
    </row>
    <row r="123">
      <c r="A123" s="8" t="inlineStr">
        <is>
          <t>PAWNEE</t>
        </is>
      </c>
      <c r="B123" s="8" t="inlineStr">
        <is>
          <t>LN</t>
        </is>
      </c>
      <c r="C123" s="8" t="inlineStr">
        <is>
          <t>Somerset</t>
        </is>
      </c>
      <c r="D123" s="8" t="inlineStr">
        <is>
          <t>No one</t>
        </is>
      </c>
      <c r="E123" s="8" t="n">
        <v>1922.8</v>
      </c>
      <c r="F123" s="20" t="n">
        <v>0.3641666666666666</v>
      </c>
      <c r="G123" s="8" t="n">
        <v>31</v>
      </c>
      <c r="H123" s="21" t="n">
        <v>59606.8</v>
      </c>
      <c r="I123" s="21" t="n">
        <v>2500</v>
      </c>
      <c r="J123" s="21">
        <f>H123+IF(I123="",0,I123)</f>
        <v/>
      </c>
      <c r="K123" s="22" t="n">
        <v>7.49</v>
      </c>
      <c r="L123" s="8" t="inlineStr">
        <is>
          <t>Measured</t>
        </is>
      </c>
      <c r="M123" s="22">
        <f>MAX(0,$K123-Assumptions!$B$12*5)</f>
        <v/>
      </c>
      <c r="N123" s="22">
        <f>MAX(0,$K123-Assumptions!$B$12*10)</f>
        <v/>
      </c>
      <c r="O123" s="22">
        <f>MAX(0,$K123-Assumptions!$B$12*16)</f>
        <v/>
      </c>
      <c r="P123" s="8">
        <f>VLOOKUP($K123,Assumptions!$A$21:$B$24,2)</f>
        <v/>
      </c>
      <c r="Q123" s="8">
        <f>VLOOKUP($M123,Assumptions!$A$21:$B$24,2)</f>
        <v/>
      </c>
      <c r="R123" s="8">
        <f>VLOOKUP($N123,Assumptions!$A$21:$B$24,2)</f>
        <v/>
      </c>
      <c r="S123" s="8">
        <f>VLOOKUP($O123,Assumptions!$A$21:$B$24,2)</f>
        <v/>
      </c>
      <c r="T123" s="21">
        <f>$J123*VLOOKUP($K123,Assumptions!$A$21:$C$24,3)</f>
        <v/>
      </c>
      <c r="U123" s="21">
        <f>$J123*VLOOKUP($M123,Assumptions!$A$21:$C$24,3)</f>
        <v/>
      </c>
      <c r="V123" s="21">
        <f>$J123*VLOOKUP($N123,Assumptions!$A$21:$C$24,3)</f>
        <v/>
      </c>
      <c r="W123" s="21">
        <f>$J123*VLOOKUP($O123,Assumptions!$A$21:$C$24,3)</f>
        <v/>
      </c>
    </row>
    <row r="124">
      <c r="A124" s="8" t="inlineStr">
        <is>
          <t>PAWNEE</t>
        </is>
      </c>
      <c r="B124" s="8" t="inlineStr">
        <is>
          <t>WAY</t>
        </is>
      </c>
      <c r="C124" s="8" t="inlineStr">
        <is>
          <t>Somerset</t>
        </is>
      </c>
      <c r="D124" s="8" t="inlineStr">
        <is>
          <t>No one</t>
        </is>
      </c>
      <c r="E124" s="8" t="n">
        <v>270.4</v>
      </c>
      <c r="F124" s="20" t="n">
        <v>0.05121212121212121</v>
      </c>
      <c r="G124" s="8" t="n">
        <v>31</v>
      </c>
      <c r="H124" s="21" t="n">
        <v>8382.4</v>
      </c>
      <c r="I124" s="21" t="n"/>
      <c r="J124" s="21">
        <f>H124+IF(I124="",0,I124)</f>
        <v/>
      </c>
      <c r="K124" s="22" t="n">
        <v>18.31</v>
      </c>
      <c r="L124" s="8" t="inlineStr">
        <is>
          <t>Measured</t>
        </is>
      </c>
      <c r="M124" s="22">
        <f>MAX(0,$K124-Assumptions!$B$12*5)</f>
        <v/>
      </c>
      <c r="N124" s="22">
        <f>MAX(0,$K124-Assumptions!$B$12*10)</f>
        <v/>
      </c>
      <c r="O124" s="22">
        <f>MAX(0,$K124-Assumptions!$B$12*16)</f>
        <v/>
      </c>
      <c r="P124" s="8">
        <f>VLOOKUP($K124,Assumptions!$A$21:$B$24,2)</f>
        <v/>
      </c>
      <c r="Q124" s="8">
        <f>VLOOKUP($M124,Assumptions!$A$21:$B$24,2)</f>
        <v/>
      </c>
      <c r="R124" s="8">
        <f>VLOOKUP($N124,Assumptions!$A$21:$B$24,2)</f>
        <v/>
      </c>
      <c r="S124" s="8">
        <f>VLOOKUP($O124,Assumptions!$A$21:$B$24,2)</f>
        <v/>
      </c>
      <c r="T124" s="21">
        <f>$J124*VLOOKUP($K124,Assumptions!$A$21:$C$24,3)</f>
        <v/>
      </c>
      <c r="U124" s="21">
        <f>$J124*VLOOKUP($M124,Assumptions!$A$21:$C$24,3)</f>
        <v/>
      </c>
      <c r="V124" s="21">
        <f>$J124*VLOOKUP($N124,Assumptions!$A$21:$C$24,3)</f>
        <v/>
      </c>
      <c r="W124" s="21">
        <f>$J124*VLOOKUP($O124,Assumptions!$A$21:$C$24,3)</f>
        <v/>
      </c>
    </row>
    <row r="125">
      <c r="A125" s="8" t="inlineStr">
        <is>
          <t>SAWTOOTH</t>
        </is>
      </c>
      <c r="B125" s="8" t="inlineStr">
        <is>
          <t>LN</t>
        </is>
      </c>
      <c r="C125" s="8" t="inlineStr">
        <is>
          <t>Somerset</t>
        </is>
      </c>
      <c r="D125" s="8" t="inlineStr">
        <is>
          <t>No one</t>
        </is>
      </c>
      <c r="E125" s="8" t="n">
        <v>945.1</v>
      </c>
      <c r="F125" s="20" t="n">
        <v>0.1789962121212121</v>
      </c>
      <c r="G125" s="8" t="n">
        <v>31</v>
      </c>
      <c r="H125" s="21" t="n">
        <v>29298.10000000001</v>
      </c>
      <c r="I125" s="21" t="n">
        <v>2500</v>
      </c>
      <c r="J125" s="21">
        <f>H125+IF(I125="",0,I125)</f>
        <v/>
      </c>
      <c r="K125" s="22" t="n">
        <v>16.23</v>
      </c>
      <c r="L125" s="8" t="inlineStr">
        <is>
          <t>Measured</t>
        </is>
      </c>
      <c r="M125" s="22">
        <f>MAX(0,$K125-Assumptions!$B$12*5)</f>
        <v/>
      </c>
      <c r="N125" s="22">
        <f>MAX(0,$K125-Assumptions!$B$12*10)</f>
        <v/>
      </c>
      <c r="O125" s="22">
        <f>MAX(0,$K125-Assumptions!$B$12*16)</f>
        <v/>
      </c>
      <c r="P125" s="8">
        <f>VLOOKUP($K125,Assumptions!$A$21:$B$24,2)</f>
        <v/>
      </c>
      <c r="Q125" s="8">
        <f>VLOOKUP($M125,Assumptions!$A$21:$B$24,2)</f>
        <v/>
      </c>
      <c r="R125" s="8">
        <f>VLOOKUP($N125,Assumptions!$A$21:$B$24,2)</f>
        <v/>
      </c>
      <c r="S125" s="8">
        <f>VLOOKUP($O125,Assumptions!$A$21:$B$24,2)</f>
        <v/>
      </c>
      <c r="T125" s="21">
        <f>$J125*VLOOKUP($K125,Assumptions!$A$21:$C$24,3)</f>
        <v/>
      </c>
      <c r="U125" s="21">
        <f>$J125*VLOOKUP($M125,Assumptions!$A$21:$C$24,3)</f>
        <v/>
      </c>
      <c r="V125" s="21">
        <f>$J125*VLOOKUP($N125,Assumptions!$A$21:$C$24,3)</f>
        <v/>
      </c>
      <c r="W125" s="21">
        <f>$J125*VLOOKUP($O125,Assumptions!$A$21:$C$24,3)</f>
        <v/>
      </c>
    </row>
    <row r="126">
      <c r="A126" s="8" t="inlineStr">
        <is>
          <t>LONGVIEW</t>
        </is>
      </c>
      <c r="B126" s="8" t="inlineStr">
        <is>
          <t>DR</t>
        </is>
      </c>
      <c r="C126" s="8" t="inlineStr">
        <is>
          <t>Somerset / Som. Estates / Waterford Park</t>
        </is>
      </c>
      <c r="D126" s="8" t="inlineStr">
        <is>
          <t>No one</t>
        </is>
      </c>
      <c r="E126" s="8" t="n">
        <v>67.40000000000001</v>
      </c>
      <c r="F126" s="20" t="n">
        <v>0.01276515151515152</v>
      </c>
      <c r="G126" s="8" t="n">
        <v>31</v>
      </c>
      <c r="H126" s="21" t="n">
        <v>2089.4</v>
      </c>
      <c r="I126" s="21" t="n">
        <v>2500</v>
      </c>
      <c r="J126" s="21">
        <f>H126+IF(I126="",0,I126)</f>
        <v/>
      </c>
      <c r="K126" s="22" t="n">
        <v>12.83</v>
      </c>
      <c r="L126" s="8" t="inlineStr">
        <is>
          <t>Measured</t>
        </is>
      </c>
      <c r="M126" s="22">
        <f>MAX(0,$K126-Assumptions!$B$12*5)</f>
        <v/>
      </c>
      <c r="N126" s="22">
        <f>MAX(0,$K126-Assumptions!$B$12*10)</f>
        <v/>
      </c>
      <c r="O126" s="22">
        <f>MAX(0,$K126-Assumptions!$B$12*16)</f>
        <v/>
      </c>
      <c r="P126" s="8">
        <f>VLOOKUP($K126,Assumptions!$A$21:$B$24,2)</f>
        <v/>
      </c>
      <c r="Q126" s="8">
        <f>VLOOKUP($M126,Assumptions!$A$21:$B$24,2)</f>
        <v/>
      </c>
      <c r="R126" s="8">
        <f>VLOOKUP($N126,Assumptions!$A$21:$B$24,2)</f>
        <v/>
      </c>
      <c r="S126" s="8">
        <f>VLOOKUP($O126,Assumptions!$A$21:$B$24,2)</f>
        <v/>
      </c>
      <c r="T126" s="21">
        <f>$J126*VLOOKUP($K126,Assumptions!$A$21:$C$24,3)</f>
        <v/>
      </c>
      <c r="U126" s="21">
        <f>$J126*VLOOKUP($M126,Assumptions!$A$21:$C$24,3)</f>
        <v/>
      </c>
      <c r="V126" s="21">
        <f>$J126*VLOOKUP($N126,Assumptions!$A$21:$C$24,3)</f>
        <v/>
      </c>
      <c r="W126" s="21">
        <f>$J126*VLOOKUP($O126,Assumptions!$A$21:$C$24,3)</f>
        <v/>
      </c>
    </row>
    <row r="127">
      <c r="A127" s="8" t="inlineStr">
        <is>
          <t>LONGVIEW</t>
        </is>
      </c>
      <c r="B127" s="8" t="inlineStr">
        <is>
          <t>DR</t>
        </is>
      </c>
      <c r="C127" s="8" t="inlineStr">
        <is>
          <t>Somerset / Som. Estates / Waterford Park</t>
        </is>
      </c>
      <c r="D127" s="8" t="inlineStr">
        <is>
          <t>No one</t>
        </is>
      </c>
      <c r="E127" s="8" t="n">
        <v>253.6</v>
      </c>
      <c r="F127" s="20" t="n">
        <v>0.04803030303030303</v>
      </c>
      <c r="G127" s="8" t="n">
        <v>31</v>
      </c>
      <c r="H127" s="21" t="n">
        <v>7861.599999999999</v>
      </c>
      <c r="I127" s="21" t="n"/>
      <c r="J127" s="21">
        <f>H127+IF(I127="",0,I127)</f>
        <v/>
      </c>
      <c r="K127" s="22" t="n">
        <v>19.57</v>
      </c>
      <c r="L127" s="8" t="inlineStr">
        <is>
          <t>Measured</t>
        </is>
      </c>
      <c r="M127" s="22">
        <f>MAX(0,$K127-Assumptions!$B$12*5)</f>
        <v/>
      </c>
      <c r="N127" s="22">
        <f>MAX(0,$K127-Assumptions!$B$12*10)</f>
        <v/>
      </c>
      <c r="O127" s="22">
        <f>MAX(0,$K127-Assumptions!$B$12*16)</f>
        <v/>
      </c>
      <c r="P127" s="8">
        <f>VLOOKUP($K127,Assumptions!$A$21:$B$24,2)</f>
        <v/>
      </c>
      <c r="Q127" s="8">
        <f>VLOOKUP($M127,Assumptions!$A$21:$B$24,2)</f>
        <v/>
      </c>
      <c r="R127" s="8">
        <f>VLOOKUP($N127,Assumptions!$A$21:$B$24,2)</f>
        <v/>
      </c>
      <c r="S127" s="8">
        <f>VLOOKUP($O127,Assumptions!$A$21:$B$24,2)</f>
        <v/>
      </c>
      <c r="T127" s="21">
        <f>$J127*VLOOKUP($K127,Assumptions!$A$21:$C$24,3)</f>
        <v/>
      </c>
      <c r="U127" s="21">
        <f>$J127*VLOOKUP($M127,Assumptions!$A$21:$C$24,3)</f>
        <v/>
      </c>
      <c r="V127" s="21">
        <f>$J127*VLOOKUP($N127,Assumptions!$A$21:$C$24,3)</f>
        <v/>
      </c>
      <c r="W127" s="21">
        <f>$J127*VLOOKUP($O127,Assumptions!$A$21:$C$24,3)</f>
        <v/>
      </c>
    </row>
    <row r="128">
      <c r="A128" s="8" t="inlineStr">
        <is>
          <t>LONGVIEW</t>
        </is>
      </c>
      <c r="B128" s="8" t="inlineStr">
        <is>
          <t>DR</t>
        </is>
      </c>
      <c r="C128" s="8" t="inlineStr">
        <is>
          <t>Somerset / Som. Estates / Waterford Park</t>
        </is>
      </c>
      <c r="D128" s="8" t="inlineStr">
        <is>
          <t>No one</t>
        </is>
      </c>
      <c r="E128" s="8" t="n">
        <v>241.4</v>
      </c>
      <c r="F128" s="20" t="n">
        <v>0.04571969696969697</v>
      </c>
      <c r="G128" s="8" t="n">
        <v>31</v>
      </c>
      <c r="H128" s="21" t="n">
        <v>7483.400000000001</v>
      </c>
      <c r="I128" s="21" t="n"/>
      <c r="J128" s="21">
        <f>H128+IF(I128="",0,I128)</f>
        <v/>
      </c>
      <c r="K128" s="22" t="n">
        <v>23.57</v>
      </c>
      <c r="L128" s="8" t="inlineStr">
        <is>
          <t>Measured</t>
        </is>
      </c>
      <c r="M128" s="22">
        <f>MAX(0,$K128-Assumptions!$B$12*5)</f>
        <v/>
      </c>
      <c r="N128" s="22">
        <f>MAX(0,$K128-Assumptions!$B$12*10)</f>
        <v/>
      </c>
      <c r="O128" s="22">
        <f>MAX(0,$K128-Assumptions!$B$12*16)</f>
        <v/>
      </c>
      <c r="P128" s="8">
        <f>VLOOKUP($K128,Assumptions!$A$21:$B$24,2)</f>
        <v/>
      </c>
      <c r="Q128" s="8">
        <f>VLOOKUP($M128,Assumptions!$A$21:$B$24,2)</f>
        <v/>
      </c>
      <c r="R128" s="8">
        <f>VLOOKUP($N128,Assumptions!$A$21:$B$24,2)</f>
        <v/>
      </c>
      <c r="S128" s="8">
        <f>VLOOKUP($O128,Assumptions!$A$21:$B$24,2)</f>
        <v/>
      </c>
      <c r="T128" s="21">
        <f>$J128*VLOOKUP($K128,Assumptions!$A$21:$C$24,3)</f>
        <v/>
      </c>
      <c r="U128" s="21">
        <f>$J128*VLOOKUP($M128,Assumptions!$A$21:$C$24,3)</f>
        <v/>
      </c>
      <c r="V128" s="21">
        <f>$J128*VLOOKUP($N128,Assumptions!$A$21:$C$24,3)</f>
        <v/>
      </c>
      <c r="W128" s="21">
        <f>$J128*VLOOKUP($O128,Assumptions!$A$21:$C$24,3)</f>
        <v/>
      </c>
    </row>
    <row r="129">
      <c r="A129" s="8" t="inlineStr">
        <is>
          <t>LONGVIEW</t>
        </is>
      </c>
      <c r="B129" s="8" t="inlineStr">
        <is>
          <t>DR</t>
        </is>
      </c>
      <c r="C129" s="8" t="inlineStr">
        <is>
          <t>Somerset / Som. Estates / Waterford Park</t>
        </is>
      </c>
      <c r="D129" s="8" t="inlineStr">
        <is>
          <t>No one</t>
        </is>
      </c>
      <c r="E129" s="8" t="n">
        <v>667.1</v>
      </c>
      <c r="F129" s="20" t="n">
        <v>0.126344696969697</v>
      </c>
      <c r="G129" s="8" t="n">
        <v>33</v>
      </c>
      <c r="H129" s="21" t="n">
        <v>22014.3</v>
      </c>
      <c r="I129" s="21" t="n"/>
      <c r="J129" s="21">
        <f>H129+IF(I129="",0,I129)</f>
        <v/>
      </c>
      <c r="K129" s="22" t="n">
        <v>31</v>
      </c>
      <c r="L129" s="8" t="inlineStr">
        <is>
          <t>Measured</t>
        </is>
      </c>
      <c r="M129" s="22">
        <f>MAX(0,$K129-Assumptions!$B$12*5)</f>
        <v/>
      </c>
      <c r="N129" s="22">
        <f>MAX(0,$K129-Assumptions!$B$12*10)</f>
        <v/>
      </c>
      <c r="O129" s="22">
        <f>MAX(0,$K129-Assumptions!$B$12*16)</f>
        <v/>
      </c>
      <c r="P129" s="8">
        <f>VLOOKUP($K129,Assumptions!$A$21:$B$24,2)</f>
        <v/>
      </c>
      <c r="Q129" s="8">
        <f>VLOOKUP($M129,Assumptions!$A$21:$B$24,2)</f>
        <v/>
      </c>
      <c r="R129" s="8">
        <f>VLOOKUP($N129,Assumptions!$A$21:$B$24,2)</f>
        <v/>
      </c>
      <c r="S129" s="8">
        <f>VLOOKUP($O129,Assumptions!$A$21:$B$24,2)</f>
        <v/>
      </c>
      <c r="T129" s="21">
        <f>$J129*VLOOKUP($K129,Assumptions!$A$21:$C$24,3)</f>
        <v/>
      </c>
      <c r="U129" s="21">
        <f>$J129*VLOOKUP($M129,Assumptions!$A$21:$C$24,3)</f>
        <v/>
      </c>
      <c r="V129" s="21">
        <f>$J129*VLOOKUP($N129,Assumptions!$A$21:$C$24,3)</f>
        <v/>
      </c>
      <c r="W129" s="21">
        <f>$J129*VLOOKUP($O129,Assumptions!$A$21:$C$24,3)</f>
        <v/>
      </c>
    </row>
    <row r="130">
      <c r="A130" s="8" t="inlineStr">
        <is>
          <t>LONGVIEW</t>
        </is>
      </c>
      <c r="B130" s="8" t="inlineStr">
        <is>
          <t>DR</t>
        </is>
      </c>
      <c r="C130" s="8" t="inlineStr">
        <is>
          <t>Somerset / Som. Estates / Waterford Park</t>
        </is>
      </c>
      <c r="D130" s="8" t="inlineStr">
        <is>
          <t>No one</t>
        </is>
      </c>
      <c r="E130" s="8" t="n">
        <v>1563.9</v>
      </c>
      <c r="F130" s="20" t="n">
        <v>0.2961931818181818</v>
      </c>
      <c r="G130" s="8" t="n">
        <v>31</v>
      </c>
      <c r="H130" s="21" t="n">
        <v>48480.9</v>
      </c>
      <c r="I130" s="21" t="n"/>
      <c r="J130" s="21">
        <f>H130+IF(I130="",0,I130)</f>
        <v/>
      </c>
      <c r="K130" s="22" t="n">
        <v>34.5</v>
      </c>
      <c r="L130" s="8" t="inlineStr">
        <is>
          <t>Measured</t>
        </is>
      </c>
      <c r="M130" s="22">
        <f>MAX(0,$K130-Assumptions!$B$12*5)</f>
        <v/>
      </c>
      <c r="N130" s="22">
        <f>MAX(0,$K130-Assumptions!$B$12*10)</f>
        <v/>
      </c>
      <c r="O130" s="22">
        <f>MAX(0,$K130-Assumptions!$B$12*16)</f>
        <v/>
      </c>
      <c r="P130" s="8">
        <f>VLOOKUP($K130,Assumptions!$A$21:$B$24,2)</f>
        <v/>
      </c>
      <c r="Q130" s="8">
        <f>VLOOKUP($M130,Assumptions!$A$21:$B$24,2)</f>
        <v/>
      </c>
      <c r="R130" s="8">
        <f>VLOOKUP($N130,Assumptions!$A$21:$B$24,2)</f>
        <v/>
      </c>
      <c r="S130" s="8">
        <f>VLOOKUP($O130,Assumptions!$A$21:$B$24,2)</f>
        <v/>
      </c>
      <c r="T130" s="21">
        <f>$J130*VLOOKUP($K130,Assumptions!$A$21:$C$24,3)</f>
        <v/>
      </c>
      <c r="U130" s="21">
        <f>$J130*VLOOKUP($M130,Assumptions!$A$21:$C$24,3)</f>
        <v/>
      </c>
      <c r="V130" s="21">
        <f>$J130*VLOOKUP($N130,Assumptions!$A$21:$C$24,3)</f>
        <v/>
      </c>
      <c r="W130" s="21">
        <f>$J130*VLOOKUP($O130,Assumptions!$A$21:$C$24,3)</f>
        <v/>
      </c>
    </row>
    <row r="131">
      <c r="A131" s="8" t="inlineStr">
        <is>
          <t>LONGVIEW</t>
        </is>
      </c>
      <c r="B131" s="8" t="inlineStr">
        <is>
          <t>DR</t>
        </is>
      </c>
      <c r="C131" s="8" t="inlineStr">
        <is>
          <t>Somerset / Som. Estates / Waterford Park</t>
        </is>
      </c>
      <c r="D131" s="8" t="inlineStr">
        <is>
          <t>No one</t>
        </is>
      </c>
      <c r="E131" s="8" t="n">
        <v>2356.9</v>
      </c>
      <c r="F131" s="20" t="n">
        <v>0.4463825757575758</v>
      </c>
      <c r="G131" s="8" t="n">
        <v>31</v>
      </c>
      <c r="H131" s="21" t="n">
        <v>73063.90000000001</v>
      </c>
      <c r="I131" s="21" t="n"/>
      <c r="J131" s="21">
        <f>H131+IF(I131="",0,I131)</f>
        <v/>
      </c>
      <c r="K131" s="22" t="n">
        <v>36.16</v>
      </c>
      <c r="L131" s="8" t="inlineStr">
        <is>
          <t>Measured</t>
        </is>
      </c>
      <c r="M131" s="22">
        <f>MAX(0,$K131-Assumptions!$B$12*5)</f>
        <v/>
      </c>
      <c r="N131" s="22">
        <f>MAX(0,$K131-Assumptions!$B$12*10)</f>
        <v/>
      </c>
      <c r="O131" s="22">
        <f>MAX(0,$K131-Assumptions!$B$12*16)</f>
        <v/>
      </c>
      <c r="P131" s="8">
        <f>VLOOKUP($K131,Assumptions!$A$21:$B$24,2)</f>
        <v/>
      </c>
      <c r="Q131" s="8">
        <f>VLOOKUP($M131,Assumptions!$A$21:$B$24,2)</f>
        <v/>
      </c>
      <c r="R131" s="8">
        <f>VLOOKUP($N131,Assumptions!$A$21:$B$24,2)</f>
        <v/>
      </c>
      <c r="S131" s="8">
        <f>VLOOKUP($O131,Assumptions!$A$21:$B$24,2)</f>
        <v/>
      </c>
      <c r="T131" s="21">
        <f>$J131*VLOOKUP($K131,Assumptions!$A$21:$C$24,3)</f>
        <v/>
      </c>
      <c r="U131" s="21">
        <f>$J131*VLOOKUP($M131,Assumptions!$A$21:$C$24,3)</f>
        <v/>
      </c>
      <c r="V131" s="21">
        <f>$J131*VLOOKUP($N131,Assumptions!$A$21:$C$24,3)</f>
        <v/>
      </c>
      <c r="W131" s="21">
        <f>$J131*VLOOKUP($O131,Assumptions!$A$21:$C$24,3)</f>
        <v/>
      </c>
    </row>
    <row r="132">
      <c r="A132" s="8" t="inlineStr">
        <is>
          <t>LONGVIEW</t>
        </is>
      </c>
      <c r="B132" s="8" t="inlineStr">
        <is>
          <t>DR</t>
        </is>
      </c>
      <c r="C132" s="8" t="inlineStr">
        <is>
          <t>Somerset / Som. Estates / Waterford Park</t>
        </is>
      </c>
      <c r="D132" s="8" t="inlineStr">
        <is>
          <t>No one</t>
        </is>
      </c>
      <c r="E132" s="8" t="n">
        <v>478.8</v>
      </c>
      <c r="F132" s="20" t="n">
        <v>0.09068181818181818</v>
      </c>
      <c r="G132" s="8" t="n">
        <v>33</v>
      </c>
      <c r="H132" s="21" t="n">
        <v>15800.4</v>
      </c>
      <c r="I132" s="21" t="n"/>
      <c r="J132" s="21">
        <f>H132+IF(I132="",0,I132)</f>
        <v/>
      </c>
      <c r="K132" s="22" t="n">
        <v>88.39</v>
      </c>
      <c r="L132" s="8" t="inlineStr">
        <is>
          <t>Measured</t>
        </is>
      </c>
      <c r="M132" s="22">
        <f>MAX(0,$K132-Assumptions!$B$12*5)</f>
        <v/>
      </c>
      <c r="N132" s="22">
        <f>MAX(0,$K132-Assumptions!$B$12*10)</f>
        <v/>
      </c>
      <c r="O132" s="22">
        <f>MAX(0,$K132-Assumptions!$B$12*16)</f>
        <v/>
      </c>
      <c r="P132" s="8">
        <f>VLOOKUP($K132,Assumptions!$A$21:$B$24,2)</f>
        <v/>
      </c>
      <c r="Q132" s="8">
        <f>VLOOKUP($M132,Assumptions!$A$21:$B$24,2)</f>
        <v/>
      </c>
      <c r="R132" s="8">
        <f>VLOOKUP($N132,Assumptions!$A$21:$B$24,2)</f>
        <v/>
      </c>
      <c r="S132" s="8">
        <f>VLOOKUP($O132,Assumptions!$A$21:$B$24,2)</f>
        <v/>
      </c>
      <c r="T132" s="21">
        <f>$J132*VLOOKUP($K132,Assumptions!$A$21:$C$24,3)</f>
        <v/>
      </c>
      <c r="U132" s="21">
        <f>$J132*VLOOKUP($M132,Assumptions!$A$21:$C$24,3)</f>
        <v/>
      </c>
      <c r="V132" s="21">
        <f>$J132*VLOOKUP($N132,Assumptions!$A$21:$C$24,3)</f>
        <v/>
      </c>
      <c r="W132" s="21">
        <f>$J132*VLOOKUP($O132,Assumptions!$A$21:$C$24,3)</f>
        <v/>
      </c>
    </row>
    <row r="133">
      <c r="A133" s="8" t="inlineStr">
        <is>
          <t>LONGVIEW</t>
        </is>
      </c>
      <c r="B133" s="8" t="inlineStr">
        <is>
          <t>DR</t>
        </is>
      </c>
      <c r="C133" s="8" t="inlineStr">
        <is>
          <t>Somerset / Som. Estates / Waterford Park</t>
        </is>
      </c>
      <c r="D133" s="8" t="inlineStr">
        <is>
          <t>No one</t>
        </is>
      </c>
      <c r="E133" s="8" t="n">
        <v>2640.9</v>
      </c>
      <c r="F133" s="20" t="n">
        <v>0.5001704545454546</v>
      </c>
      <c r="G133" s="8" t="n">
        <v>33</v>
      </c>
      <c r="H133" s="21" t="n">
        <v>87149.70000000001</v>
      </c>
      <c r="I133" s="21" t="n"/>
      <c r="J133" s="21">
        <f>H133+IF(I133="",0,I133)</f>
        <v/>
      </c>
      <c r="K133" s="22" t="n">
        <v>89.95999999999999</v>
      </c>
      <c r="L133" s="8" t="inlineStr">
        <is>
          <t>Measured</t>
        </is>
      </c>
      <c r="M133" s="22">
        <f>MAX(0,$K133-Assumptions!$B$12*5)</f>
        <v/>
      </c>
      <c r="N133" s="22">
        <f>MAX(0,$K133-Assumptions!$B$12*10)</f>
        <v/>
      </c>
      <c r="O133" s="22">
        <f>MAX(0,$K133-Assumptions!$B$12*16)</f>
        <v/>
      </c>
      <c r="P133" s="8">
        <f>VLOOKUP($K133,Assumptions!$A$21:$B$24,2)</f>
        <v/>
      </c>
      <c r="Q133" s="8">
        <f>VLOOKUP($M133,Assumptions!$A$21:$B$24,2)</f>
        <v/>
      </c>
      <c r="R133" s="8">
        <f>VLOOKUP($N133,Assumptions!$A$21:$B$24,2)</f>
        <v/>
      </c>
      <c r="S133" s="8">
        <f>VLOOKUP($O133,Assumptions!$A$21:$B$24,2)</f>
        <v/>
      </c>
      <c r="T133" s="21">
        <f>$J133*VLOOKUP($K133,Assumptions!$A$21:$C$24,3)</f>
        <v/>
      </c>
      <c r="U133" s="21">
        <f>$J133*VLOOKUP($M133,Assumptions!$A$21:$C$24,3)</f>
        <v/>
      </c>
      <c r="V133" s="21">
        <f>$J133*VLOOKUP($N133,Assumptions!$A$21:$C$24,3)</f>
        <v/>
      </c>
      <c r="W133" s="21">
        <f>$J133*VLOOKUP($O133,Assumptions!$A$21:$C$24,3)</f>
        <v/>
      </c>
    </row>
    <row r="134">
      <c r="A134" s="8" t="inlineStr">
        <is>
          <t>BELLFLOWER</t>
        </is>
      </c>
      <c r="B134" s="8" t="inlineStr">
        <is>
          <t>CT</t>
        </is>
      </c>
      <c r="C134" s="8" t="inlineStr">
        <is>
          <t>Somerset Estates</t>
        </is>
      </c>
      <c r="D134" s="8" t="inlineStr">
        <is>
          <t>No one</t>
        </is>
      </c>
      <c r="E134" s="8" t="n">
        <v>658.2</v>
      </c>
      <c r="F134" s="20" t="n">
        <v>0.1246590909090909</v>
      </c>
      <c r="G134" s="8" t="n">
        <v>32</v>
      </c>
      <c r="H134" s="21" t="n">
        <v>21062.4</v>
      </c>
      <c r="I134" s="21" t="n">
        <v>2500</v>
      </c>
      <c r="J134" s="21">
        <f>H134+IF(I134="",0,I134)</f>
        <v/>
      </c>
      <c r="K134" s="22" t="n">
        <v>22.55</v>
      </c>
      <c r="L134" s="8" t="inlineStr">
        <is>
          <t>Measured</t>
        </is>
      </c>
      <c r="M134" s="22">
        <f>MAX(0,$K134-Assumptions!$B$12*5)</f>
        <v/>
      </c>
      <c r="N134" s="22">
        <f>MAX(0,$K134-Assumptions!$B$12*10)</f>
        <v/>
      </c>
      <c r="O134" s="22">
        <f>MAX(0,$K134-Assumptions!$B$12*16)</f>
        <v/>
      </c>
      <c r="P134" s="8">
        <f>VLOOKUP($K134,Assumptions!$A$21:$B$24,2)</f>
        <v/>
      </c>
      <c r="Q134" s="8">
        <f>VLOOKUP($M134,Assumptions!$A$21:$B$24,2)</f>
        <v/>
      </c>
      <c r="R134" s="8">
        <f>VLOOKUP($N134,Assumptions!$A$21:$B$24,2)</f>
        <v/>
      </c>
      <c r="S134" s="8">
        <f>VLOOKUP($O134,Assumptions!$A$21:$B$24,2)</f>
        <v/>
      </c>
      <c r="T134" s="21">
        <f>$J134*VLOOKUP($K134,Assumptions!$A$21:$C$24,3)</f>
        <v/>
      </c>
      <c r="U134" s="21">
        <f>$J134*VLOOKUP($M134,Assumptions!$A$21:$C$24,3)</f>
        <v/>
      </c>
      <c r="V134" s="21">
        <f>$J134*VLOOKUP($N134,Assumptions!$A$21:$C$24,3)</f>
        <v/>
      </c>
      <c r="W134" s="21">
        <f>$J134*VLOOKUP($O134,Assumptions!$A$21:$C$24,3)</f>
        <v/>
      </c>
    </row>
    <row r="135">
      <c r="A135" s="8" t="inlineStr">
        <is>
          <t>CATTAIL</t>
        </is>
      </c>
      <c r="B135" s="8" t="inlineStr">
        <is>
          <t>DR</t>
        </is>
      </c>
      <c r="C135" s="8" t="inlineStr">
        <is>
          <t>Somerset Estates</t>
        </is>
      </c>
      <c r="D135" s="8" t="inlineStr">
        <is>
          <t>No one</t>
        </is>
      </c>
      <c r="E135" s="8" t="n">
        <v>1060.4</v>
      </c>
      <c r="F135" s="20" t="n">
        <v>0.2008333333333334</v>
      </c>
      <c r="G135" s="8" t="n">
        <v>32</v>
      </c>
      <c r="H135" s="21" t="n">
        <v>33932.8</v>
      </c>
      <c r="I135" s="21" t="n"/>
      <c r="J135" s="21">
        <f>H135+IF(I135="",0,I135)</f>
        <v/>
      </c>
      <c r="K135" s="22" t="n">
        <v>15.77</v>
      </c>
      <c r="L135" s="8" t="inlineStr">
        <is>
          <t>Measured</t>
        </is>
      </c>
      <c r="M135" s="22">
        <f>MAX(0,$K135-Assumptions!$B$12*5)</f>
        <v/>
      </c>
      <c r="N135" s="22">
        <f>MAX(0,$K135-Assumptions!$B$12*10)</f>
        <v/>
      </c>
      <c r="O135" s="22">
        <f>MAX(0,$K135-Assumptions!$B$12*16)</f>
        <v/>
      </c>
      <c r="P135" s="8">
        <f>VLOOKUP($K135,Assumptions!$A$21:$B$24,2)</f>
        <v/>
      </c>
      <c r="Q135" s="8">
        <f>VLOOKUP($M135,Assumptions!$A$21:$B$24,2)</f>
        <v/>
      </c>
      <c r="R135" s="8">
        <f>VLOOKUP($N135,Assumptions!$A$21:$B$24,2)</f>
        <v/>
      </c>
      <c r="S135" s="8">
        <f>VLOOKUP($O135,Assumptions!$A$21:$B$24,2)</f>
        <v/>
      </c>
      <c r="T135" s="21">
        <f>$J135*VLOOKUP($K135,Assumptions!$A$21:$C$24,3)</f>
        <v/>
      </c>
      <c r="U135" s="21">
        <f>$J135*VLOOKUP($M135,Assumptions!$A$21:$C$24,3)</f>
        <v/>
      </c>
      <c r="V135" s="21">
        <f>$J135*VLOOKUP($N135,Assumptions!$A$21:$C$24,3)</f>
        <v/>
      </c>
      <c r="W135" s="21">
        <f>$J135*VLOOKUP($O135,Assumptions!$A$21:$C$24,3)</f>
        <v/>
      </c>
    </row>
    <row r="136">
      <c r="A136" s="8" t="inlineStr">
        <is>
          <t>CHERRY</t>
        </is>
      </c>
      <c r="B136" s="8" t="inlineStr">
        <is>
          <t>CT</t>
        </is>
      </c>
      <c r="C136" s="8" t="inlineStr">
        <is>
          <t>Somerset Estates</t>
        </is>
      </c>
      <c r="D136" s="8" t="inlineStr">
        <is>
          <t>No one</t>
        </is>
      </c>
      <c r="E136" s="8" t="n">
        <v>170.6</v>
      </c>
      <c r="F136" s="20" t="n">
        <v>0.03231060606060606</v>
      </c>
      <c r="G136" s="8" t="n">
        <v>32</v>
      </c>
      <c r="H136" s="21" t="n">
        <v>5459.2</v>
      </c>
      <c r="I136" s="21" t="n">
        <v>2500</v>
      </c>
      <c r="J136" s="21">
        <f>H136+IF(I136="",0,I136)</f>
        <v/>
      </c>
      <c r="K136" s="22" t="n">
        <v>12.87</v>
      </c>
      <c r="L136" s="8" t="inlineStr">
        <is>
          <t>Measured</t>
        </is>
      </c>
      <c r="M136" s="22">
        <f>MAX(0,$K136-Assumptions!$B$12*5)</f>
        <v/>
      </c>
      <c r="N136" s="22">
        <f>MAX(0,$K136-Assumptions!$B$12*10)</f>
        <v/>
      </c>
      <c r="O136" s="22">
        <f>MAX(0,$K136-Assumptions!$B$12*16)</f>
        <v/>
      </c>
      <c r="P136" s="8">
        <f>VLOOKUP($K136,Assumptions!$A$21:$B$24,2)</f>
        <v/>
      </c>
      <c r="Q136" s="8">
        <f>VLOOKUP($M136,Assumptions!$A$21:$B$24,2)</f>
        <v/>
      </c>
      <c r="R136" s="8">
        <f>VLOOKUP($N136,Assumptions!$A$21:$B$24,2)</f>
        <v/>
      </c>
      <c r="S136" s="8">
        <f>VLOOKUP($O136,Assumptions!$A$21:$B$24,2)</f>
        <v/>
      </c>
      <c r="T136" s="21">
        <f>$J136*VLOOKUP($K136,Assumptions!$A$21:$C$24,3)</f>
        <v/>
      </c>
      <c r="U136" s="21">
        <f>$J136*VLOOKUP($M136,Assumptions!$A$21:$C$24,3)</f>
        <v/>
      </c>
      <c r="V136" s="21">
        <f>$J136*VLOOKUP($N136,Assumptions!$A$21:$C$24,3)</f>
        <v/>
      </c>
      <c r="W136" s="21">
        <f>$J136*VLOOKUP($O136,Assumptions!$A$21:$C$24,3)</f>
        <v/>
      </c>
    </row>
    <row r="137">
      <c r="A137" s="8" t="inlineStr">
        <is>
          <t>COLUMBINE</t>
        </is>
      </c>
      <c r="B137" s="8" t="inlineStr">
        <is>
          <t>CT</t>
        </is>
      </c>
      <c r="C137" s="8" t="inlineStr">
        <is>
          <t>Somerset Estates</t>
        </is>
      </c>
      <c r="D137" s="8" t="inlineStr">
        <is>
          <t>No one</t>
        </is>
      </c>
      <c r="E137" s="8" t="n">
        <v>373.7</v>
      </c>
      <c r="F137" s="20" t="n">
        <v>0.07077651515151515</v>
      </c>
      <c r="G137" s="8" t="n">
        <v>32</v>
      </c>
      <c r="H137" s="21" t="n">
        <v>11958.4</v>
      </c>
      <c r="I137" s="21" t="n">
        <v>2500</v>
      </c>
      <c r="J137" s="21">
        <f>H137+IF(I137="",0,I137)</f>
        <v/>
      </c>
      <c r="K137" s="22" t="n">
        <v>69.76000000000001</v>
      </c>
      <c r="L137" s="8" t="inlineStr">
        <is>
          <t>Measured</t>
        </is>
      </c>
      <c r="M137" s="22">
        <f>MAX(0,$K137-Assumptions!$B$12*5)</f>
        <v/>
      </c>
      <c r="N137" s="22">
        <f>MAX(0,$K137-Assumptions!$B$12*10)</f>
        <v/>
      </c>
      <c r="O137" s="22">
        <f>MAX(0,$K137-Assumptions!$B$12*16)</f>
        <v/>
      </c>
      <c r="P137" s="8">
        <f>VLOOKUP($K137,Assumptions!$A$21:$B$24,2)</f>
        <v/>
      </c>
      <c r="Q137" s="8">
        <f>VLOOKUP($M137,Assumptions!$A$21:$B$24,2)</f>
        <v/>
      </c>
      <c r="R137" s="8">
        <f>VLOOKUP($N137,Assumptions!$A$21:$B$24,2)</f>
        <v/>
      </c>
      <c r="S137" s="8">
        <f>VLOOKUP($O137,Assumptions!$A$21:$B$24,2)</f>
        <v/>
      </c>
      <c r="T137" s="21">
        <f>$J137*VLOOKUP($K137,Assumptions!$A$21:$C$24,3)</f>
        <v/>
      </c>
      <c r="U137" s="21">
        <f>$J137*VLOOKUP($M137,Assumptions!$A$21:$C$24,3)</f>
        <v/>
      </c>
      <c r="V137" s="21">
        <f>$J137*VLOOKUP($N137,Assumptions!$A$21:$C$24,3)</f>
        <v/>
      </c>
      <c r="W137" s="21">
        <f>$J137*VLOOKUP($O137,Assumptions!$A$21:$C$24,3)</f>
        <v/>
      </c>
    </row>
    <row r="138">
      <c r="A138" s="8" t="inlineStr">
        <is>
          <t>CORALBERRY</t>
        </is>
      </c>
      <c r="B138" s="8" t="inlineStr">
        <is>
          <t>CT</t>
        </is>
      </c>
      <c r="C138" s="8" t="inlineStr">
        <is>
          <t>Somerset Estates</t>
        </is>
      </c>
      <c r="D138" s="8" t="inlineStr">
        <is>
          <t>No one</t>
        </is>
      </c>
      <c r="E138" s="8" t="n">
        <v>278.7</v>
      </c>
      <c r="F138" s="20" t="n">
        <v>0.05278409090909091</v>
      </c>
      <c r="G138" s="8" t="n">
        <v>32</v>
      </c>
      <c r="H138" s="21" t="n">
        <v>8918.4</v>
      </c>
      <c r="I138" s="21" t="n">
        <v>2500</v>
      </c>
      <c r="J138" s="21">
        <f>H138+IF(I138="",0,I138)</f>
        <v/>
      </c>
      <c r="K138" s="22" t="n">
        <v>24.7</v>
      </c>
      <c r="L138" s="8" t="inlineStr">
        <is>
          <t>Measured</t>
        </is>
      </c>
      <c r="M138" s="22">
        <f>MAX(0,$K138-Assumptions!$B$12*5)</f>
        <v/>
      </c>
      <c r="N138" s="22">
        <f>MAX(0,$K138-Assumptions!$B$12*10)</f>
        <v/>
      </c>
      <c r="O138" s="22">
        <f>MAX(0,$K138-Assumptions!$B$12*16)</f>
        <v/>
      </c>
      <c r="P138" s="8">
        <f>VLOOKUP($K138,Assumptions!$A$21:$B$24,2)</f>
        <v/>
      </c>
      <c r="Q138" s="8">
        <f>VLOOKUP($M138,Assumptions!$A$21:$B$24,2)</f>
        <v/>
      </c>
      <c r="R138" s="8">
        <f>VLOOKUP($N138,Assumptions!$A$21:$B$24,2)</f>
        <v/>
      </c>
      <c r="S138" s="8">
        <f>VLOOKUP($O138,Assumptions!$A$21:$B$24,2)</f>
        <v/>
      </c>
      <c r="T138" s="21">
        <f>$J138*VLOOKUP($K138,Assumptions!$A$21:$C$24,3)</f>
        <v/>
      </c>
      <c r="U138" s="21">
        <f>$J138*VLOOKUP($M138,Assumptions!$A$21:$C$24,3)</f>
        <v/>
      </c>
      <c r="V138" s="21">
        <f>$J138*VLOOKUP($N138,Assumptions!$A$21:$C$24,3)</f>
        <v/>
      </c>
      <c r="W138" s="21">
        <f>$J138*VLOOKUP($O138,Assumptions!$A$21:$C$24,3)</f>
        <v/>
      </c>
    </row>
    <row r="139">
      <c r="A139" s="8" t="inlineStr">
        <is>
          <t>CRANBERRY</t>
        </is>
      </c>
      <c r="B139" s="8" t="inlineStr">
        <is>
          <t>CT</t>
        </is>
      </c>
      <c r="C139" s="8" t="inlineStr">
        <is>
          <t>Somerset Estates</t>
        </is>
      </c>
      <c r="D139" s="8" t="inlineStr">
        <is>
          <t>No one</t>
        </is>
      </c>
      <c r="E139" s="8" t="n">
        <v>269.3</v>
      </c>
      <c r="F139" s="20" t="n">
        <v>0.05100378787878788</v>
      </c>
      <c r="G139" s="8" t="n">
        <v>32</v>
      </c>
      <c r="H139" s="21" t="n">
        <v>8617.6</v>
      </c>
      <c r="I139" s="21" t="n">
        <v>2500</v>
      </c>
      <c r="J139" s="21">
        <f>H139+IF(I139="",0,I139)</f>
        <v/>
      </c>
      <c r="K139" s="22" t="n">
        <v>20.66</v>
      </c>
      <c r="L139" s="8" t="inlineStr">
        <is>
          <t>Measured</t>
        </is>
      </c>
      <c r="M139" s="22">
        <f>MAX(0,$K139-Assumptions!$B$12*5)</f>
        <v/>
      </c>
      <c r="N139" s="22">
        <f>MAX(0,$K139-Assumptions!$B$12*10)</f>
        <v/>
      </c>
      <c r="O139" s="22">
        <f>MAX(0,$K139-Assumptions!$B$12*16)</f>
        <v/>
      </c>
      <c r="P139" s="8">
        <f>VLOOKUP($K139,Assumptions!$A$21:$B$24,2)</f>
        <v/>
      </c>
      <c r="Q139" s="8">
        <f>VLOOKUP($M139,Assumptions!$A$21:$B$24,2)</f>
        <v/>
      </c>
      <c r="R139" s="8">
        <f>VLOOKUP($N139,Assumptions!$A$21:$B$24,2)</f>
        <v/>
      </c>
      <c r="S139" s="8">
        <f>VLOOKUP($O139,Assumptions!$A$21:$B$24,2)</f>
        <v/>
      </c>
      <c r="T139" s="21">
        <f>$J139*VLOOKUP($K139,Assumptions!$A$21:$C$24,3)</f>
        <v/>
      </c>
      <c r="U139" s="21">
        <f>$J139*VLOOKUP($M139,Assumptions!$A$21:$C$24,3)</f>
        <v/>
      </c>
      <c r="V139" s="21">
        <f>$J139*VLOOKUP($N139,Assumptions!$A$21:$C$24,3)</f>
        <v/>
      </c>
      <c r="W139" s="21">
        <f>$J139*VLOOKUP($O139,Assumptions!$A$21:$C$24,3)</f>
        <v/>
      </c>
    </row>
    <row r="140">
      <c r="A140" s="8" t="inlineStr">
        <is>
          <t>DAYLILLY</t>
        </is>
      </c>
      <c r="B140" s="8" t="inlineStr">
        <is>
          <t>CT</t>
        </is>
      </c>
      <c r="C140" s="8" t="inlineStr">
        <is>
          <t>Somerset Estates</t>
        </is>
      </c>
      <c r="D140" s="8" t="inlineStr">
        <is>
          <t>No one</t>
        </is>
      </c>
      <c r="E140" s="8" t="n">
        <v>377.4</v>
      </c>
      <c r="F140" s="20" t="n">
        <v>0.07147727272727272</v>
      </c>
      <c r="G140" s="8" t="n">
        <v>32</v>
      </c>
      <c r="H140" s="21" t="n">
        <v>12076.8</v>
      </c>
      <c r="I140" s="21" t="n">
        <v>2500</v>
      </c>
      <c r="J140" s="21">
        <f>H140+IF(I140="",0,I140)</f>
        <v/>
      </c>
      <c r="K140" s="22" t="n">
        <v>54.48</v>
      </c>
      <c r="L140" s="8" t="inlineStr">
        <is>
          <t>Measured</t>
        </is>
      </c>
      <c r="M140" s="22">
        <f>MAX(0,$K140-Assumptions!$B$12*5)</f>
        <v/>
      </c>
      <c r="N140" s="22">
        <f>MAX(0,$K140-Assumptions!$B$12*10)</f>
        <v/>
      </c>
      <c r="O140" s="22">
        <f>MAX(0,$K140-Assumptions!$B$12*16)</f>
        <v/>
      </c>
      <c r="P140" s="8">
        <f>VLOOKUP($K140,Assumptions!$A$21:$B$24,2)</f>
        <v/>
      </c>
      <c r="Q140" s="8">
        <f>VLOOKUP($M140,Assumptions!$A$21:$B$24,2)</f>
        <v/>
      </c>
      <c r="R140" s="8">
        <f>VLOOKUP($N140,Assumptions!$A$21:$B$24,2)</f>
        <v/>
      </c>
      <c r="S140" s="8">
        <f>VLOOKUP($O140,Assumptions!$A$21:$B$24,2)</f>
        <v/>
      </c>
      <c r="T140" s="21">
        <f>$J140*VLOOKUP($K140,Assumptions!$A$21:$C$24,3)</f>
        <v/>
      </c>
      <c r="U140" s="21">
        <f>$J140*VLOOKUP($M140,Assumptions!$A$21:$C$24,3)</f>
        <v/>
      </c>
      <c r="V140" s="21">
        <f>$J140*VLOOKUP($N140,Assumptions!$A$21:$C$24,3)</f>
        <v/>
      </c>
      <c r="W140" s="21">
        <f>$J140*VLOOKUP($O140,Assumptions!$A$21:$C$24,3)</f>
        <v/>
      </c>
    </row>
    <row r="141">
      <c r="A141" s="8" t="inlineStr">
        <is>
          <t>FIRETHORN</t>
        </is>
      </c>
      <c r="B141" s="8" t="inlineStr">
        <is>
          <t>CT</t>
        </is>
      </c>
      <c r="C141" s="8" t="inlineStr">
        <is>
          <t>Somerset Estates</t>
        </is>
      </c>
      <c r="D141" s="8" t="inlineStr">
        <is>
          <t>No one</t>
        </is>
      </c>
      <c r="E141" s="8" t="n">
        <v>619.9</v>
      </c>
      <c r="F141" s="20" t="n">
        <v>0.117405303030303</v>
      </c>
      <c r="G141" s="8" t="n">
        <v>32</v>
      </c>
      <c r="H141" s="21" t="n">
        <v>19836.8</v>
      </c>
      <c r="I141" s="21" t="n">
        <v>2500</v>
      </c>
      <c r="J141" s="21">
        <f>H141+IF(I141="",0,I141)</f>
        <v/>
      </c>
      <c r="K141" s="22" t="n">
        <v>45.99</v>
      </c>
      <c r="L141" s="8" t="inlineStr">
        <is>
          <t>Measured</t>
        </is>
      </c>
      <c r="M141" s="22">
        <f>MAX(0,$K141-Assumptions!$B$12*5)</f>
        <v/>
      </c>
      <c r="N141" s="22">
        <f>MAX(0,$K141-Assumptions!$B$12*10)</f>
        <v/>
      </c>
      <c r="O141" s="22">
        <f>MAX(0,$K141-Assumptions!$B$12*16)</f>
        <v/>
      </c>
      <c r="P141" s="8">
        <f>VLOOKUP($K141,Assumptions!$A$21:$B$24,2)</f>
        <v/>
      </c>
      <c r="Q141" s="8">
        <f>VLOOKUP($M141,Assumptions!$A$21:$B$24,2)</f>
        <v/>
      </c>
      <c r="R141" s="8">
        <f>VLOOKUP($N141,Assumptions!$A$21:$B$24,2)</f>
        <v/>
      </c>
      <c r="S141" s="8">
        <f>VLOOKUP($O141,Assumptions!$A$21:$B$24,2)</f>
        <v/>
      </c>
      <c r="T141" s="21">
        <f>$J141*VLOOKUP($K141,Assumptions!$A$21:$C$24,3)</f>
        <v/>
      </c>
      <c r="U141" s="21">
        <f>$J141*VLOOKUP($M141,Assumptions!$A$21:$C$24,3)</f>
        <v/>
      </c>
      <c r="V141" s="21">
        <f>$J141*VLOOKUP($N141,Assumptions!$A$21:$C$24,3)</f>
        <v/>
      </c>
      <c r="W141" s="21">
        <f>$J141*VLOOKUP($O141,Assumptions!$A$21:$C$24,3)</f>
        <v/>
      </c>
    </row>
    <row r="142">
      <c r="A142" s="8" t="inlineStr">
        <is>
          <t>PRIMROSE</t>
        </is>
      </c>
      <c r="B142" s="8" t="inlineStr">
        <is>
          <t>LN</t>
        </is>
      </c>
      <c r="C142" s="8" t="inlineStr">
        <is>
          <t>Somerset Estates</t>
        </is>
      </c>
      <c r="D142" s="8" t="inlineStr">
        <is>
          <t>No one</t>
        </is>
      </c>
      <c r="E142" s="8" t="n">
        <v>684.3</v>
      </c>
      <c r="F142" s="20" t="n">
        <v>0.1296022727272727</v>
      </c>
      <c r="G142" s="8" t="n">
        <v>32</v>
      </c>
      <c r="H142" s="21" t="n">
        <v>21897.59999999999</v>
      </c>
      <c r="I142" s="21" t="n">
        <v>2500</v>
      </c>
      <c r="J142" s="21">
        <f>H142+IF(I142="",0,I142)</f>
        <v/>
      </c>
      <c r="K142" s="22" t="n">
        <v>68.90000000000001</v>
      </c>
      <c r="L142" s="8" t="inlineStr">
        <is>
          <t>Measured</t>
        </is>
      </c>
      <c r="M142" s="22">
        <f>MAX(0,$K142-Assumptions!$B$12*5)</f>
        <v/>
      </c>
      <c r="N142" s="22">
        <f>MAX(0,$K142-Assumptions!$B$12*10)</f>
        <v/>
      </c>
      <c r="O142" s="22">
        <f>MAX(0,$K142-Assumptions!$B$12*16)</f>
        <v/>
      </c>
      <c r="P142" s="8">
        <f>VLOOKUP($K142,Assumptions!$A$21:$B$24,2)</f>
        <v/>
      </c>
      <c r="Q142" s="8">
        <f>VLOOKUP($M142,Assumptions!$A$21:$B$24,2)</f>
        <v/>
      </c>
      <c r="R142" s="8">
        <f>VLOOKUP($N142,Assumptions!$A$21:$B$24,2)</f>
        <v/>
      </c>
      <c r="S142" s="8">
        <f>VLOOKUP($O142,Assumptions!$A$21:$B$24,2)</f>
        <v/>
      </c>
      <c r="T142" s="21">
        <f>$J142*VLOOKUP($K142,Assumptions!$A$21:$C$24,3)</f>
        <v/>
      </c>
      <c r="U142" s="21">
        <f>$J142*VLOOKUP($M142,Assumptions!$A$21:$C$24,3)</f>
        <v/>
      </c>
      <c r="V142" s="21">
        <f>$J142*VLOOKUP($N142,Assumptions!$A$21:$C$24,3)</f>
        <v/>
      </c>
      <c r="W142" s="21">
        <f>$J142*VLOOKUP($O142,Assumptions!$A$21:$C$24,3)</f>
        <v/>
      </c>
    </row>
    <row r="143">
      <c r="A143" s="8" t="inlineStr">
        <is>
          <t>SNOWBERRY</t>
        </is>
      </c>
      <c r="B143" s="8" t="inlineStr">
        <is>
          <t>LN</t>
        </is>
      </c>
      <c r="C143" s="8" t="inlineStr">
        <is>
          <t>Somerset Estates</t>
        </is>
      </c>
      <c r="D143" s="8" t="inlineStr">
        <is>
          <t>No one</t>
        </is>
      </c>
      <c r="E143" s="8" t="n">
        <v>1152.8</v>
      </c>
      <c r="F143" s="20" t="n">
        <v>0.2183333333333333</v>
      </c>
      <c r="G143" s="8" t="n">
        <v>30</v>
      </c>
      <c r="H143" s="21" t="n">
        <v>34584</v>
      </c>
      <c r="I143" s="21" t="n"/>
      <c r="J143" s="21">
        <f>H143+IF(I143="",0,I143)</f>
        <v/>
      </c>
      <c r="K143" s="22" t="n">
        <v>63.94</v>
      </c>
      <c r="L143" s="8" t="inlineStr">
        <is>
          <t>Measured</t>
        </is>
      </c>
      <c r="M143" s="22">
        <f>MAX(0,$K143-Assumptions!$B$12*5)</f>
        <v/>
      </c>
      <c r="N143" s="22">
        <f>MAX(0,$K143-Assumptions!$B$12*10)</f>
        <v/>
      </c>
      <c r="O143" s="22">
        <f>MAX(0,$K143-Assumptions!$B$12*16)</f>
        <v/>
      </c>
      <c r="P143" s="8">
        <f>VLOOKUP($K143,Assumptions!$A$21:$B$24,2)</f>
        <v/>
      </c>
      <c r="Q143" s="8">
        <f>VLOOKUP($M143,Assumptions!$A$21:$B$24,2)</f>
        <v/>
      </c>
      <c r="R143" s="8">
        <f>VLOOKUP($N143,Assumptions!$A$21:$B$24,2)</f>
        <v/>
      </c>
      <c r="S143" s="8">
        <f>VLOOKUP($O143,Assumptions!$A$21:$B$24,2)</f>
        <v/>
      </c>
      <c r="T143" s="21">
        <f>$J143*VLOOKUP($K143,Assumptions!$A$21:$C$24,3)</f>
        <v/>
      </c>
      <c r="U143" s="21">
        <f>$J143*VLOOKUP($M143,Assumptions!$A$21:$C$24,3)</f>
        <v/>
      </c>
      <c r="V143" s="21">
        <f>$J143*VLOOKUP($N143,Assumptions!$A$21:$C$24,3)</f>
        <v/>
      </c>
      <c r="W143" s="21">
        <f>$J143*VLOOKUP($O143,Assumptions!$A$21:$C$24,3)</f>
        <v/>
      </c>
    </row>
    <row r="144">
      <c r="A144" s="8" t="inlineStr">
        <is>
          <t>SOMERSET</t>
        </is>
      </c>
      <c r="B144" s="8" t="inlineStr">
        <is>
          <t>DR</t>
        </is>
      </c>
      <c r="C144" s="8" t="inlineStr">
        <is>
          <t>Somerset Estates</t>
        </is>
      </c>
      <c r="D144" s="8" t="inlineStr">
        <is>
          <t>No one</t>
        </is>
      </c>
      <c r="E144" s="8" t="n">
        <v>2740.3</v>
      </c>
      <c r="F144" s="20" t="n">
        <v>0.5189962121212122</v>
      </c>
      <c r="G144" s="8" t="n">
        <v>33</v>
      </c>
      <c r="H144" s="21" t="n">
        <v>90429.90000000001</v>
      </c>
      <c r="I144" s="21" t="n"/>
      <c r="J144" s="21">
        <f>H144+IF(I144="",0,I144)</f>
        <v/>
      </c>
      <c r="K144" s="22" t="n">
        <v>77.77</v>
      </c>
      <c r="L144" s="8" t="inlineStr">
        <is>
          <t>Measured</t>
        </is>
      </c>
      <c r="M144" s="22">
        <f>MAX(0,$K144-Assumptions!$B$12*5)</f>
        <v/>
      </c>
      <c r="N144" s="22">
        <f>MAX(0,$K144-Assumptions!$B$12*10)</f>
        <v/>
      </c>
      <c r="O144" s="22">
        <f>MAX(0,$K144-Assumptions!$B$12*16)</f>
        <v/>
      </c>
      <c r="P144" s="8">
        <f>VLOOKUP($K144,Assumptions!$A$21:$B$24,2)</f>
        <v/>
      </c>
      <c r="Q144" s="8">
        <f>VLOOKUP($M144,Assumptions!$A$21:$B$24,2)</f>
        <v/>
      </c>
      <c r="R144" s="8">
        <f>VLOOKUP($N144,Assumptions!$A$21:$B$24,2)</f>
        <v/>
      </c>
      <c r="S144" s="8">
        <f>VLOOKUP($O144,Assumptions!$A$21:$B$24,2)</f>
        <v/>
      </c>
      <c r="T144" s="21">
        <f>$J144*VLOOKUP($K144,Assumptions!$A$21:$C$24,3)</f>
        <v/>
      </c>
      <c r="U144" s="21">
        <f>$J144*VLOOKUP($M144,Assumptions!$A$21:$C$24,3)</f>
        <v/>
      </c>
      <c r="V144" s="21">
        <f>$J144*VLOOKUP($N144,Assumptions!$A$21:$C$24,3)</f>
        <v/>
      </c>
      <c r="W144" s="21">
        <f>$J144*VLOOKUP($O144,Assumptions!$A$21:$C$24,3)</f>
        <v/>
      </c>
    </row>
    <row r="145">
      <c r="A145" s="8" t="inlineStr">
        <is>
          <t>SOMERSET</t>
        </is>
      </c>
      <c r="B145" s="8" t="inlineStr">
        <is>
          <t>DR</t>
        </is>
      </c>
      <c r="C145" s="8" t="inlineStr">
        <is>
          <t>Somerset Estates</t>
        </is>
      </c>
      <c r="D145" s="8" t="inlineStr">
        <is>
          <t>No one</t>
        </is>
      </c>
      <c r="E145" s="8" t="n">
        <v>386.4</v>
      </c>
      <c r="F145" s="20" t="n">
        <v>0.07318181818181818</v>
      </c>
      <c r="G145" s="8" t="n">
        <v>33</v>
      </c>
      <c r="H145" s="21" t="n">
        <v>12751.2</v>
      </c>
      <c r="I145" s="21" t="n"/>
      <c r="J145" s="21">
        <f>H145+IF(I145="",0,I145)</f>
        <v/>
      </c>
      <c r="K145" s="22" t="n">
        <v>79.84999999999999</v>
      </c>
      <c r="L145" s="8" t="inlineStr">
        <is>
          <t>Measured</t>
        </is>
      </c>
      <c r="M145" s="22">
        <f>MAX(0,$K145-Assumptions!$B$12*5)</f>
        <v/>
      </c>
      <c r="N145" s="22">
        <f>MAX(0,$K145-Assumptions!$B$12*10)</f>
        <v/>
      </c>
      <c r="O145" s="22">
        <f>MAX(0,$K145-Assumptions!$B$12*16)</f>
        <v/>
      </c>
      <c r="P145" s="8">
        <f>VLOOKUP($K145,Assumptions!$A$21:$B$24,2)</f>
        <v/>
      </c>
      <c r="Q145" s="8">
        <f>VLOOKUP($M145,Assumptions!$A$21:$B$24,2)</f>
        <v/>
      </c>
      <c r="R145" s="8">
        <f>VLOOKUP($N145,Assumptions!$A$21:$B$24,2)</f>
        <v/>
      </c>
      <c r="S145" s="8">
        <f>VLOOKUP($O145,Assumptions!$A$21:$B$24,2)</f>
        <v/>
      </c>
      <c r="T145" s="21">
        <f>$J145*VLOOKUP($K145,Assumptions!$A$21:$C$24,3)</f>
        <v/>
      </c>
      <c r="U145" s="21">
        <f>$J145*VLOOKUP($M145,Assumptions!$A$21:$C$24,3)</f>
        <v/>
      </c>
      <c r="V145" s="21">
        <f>$J145*VLOOKUP($N145,Assumptions!$A$21:$C$24,3)</f>
        <v/>
      </c>
      <c r="W145" s="21">
        <f>$J145*VLOOKUP($O145,Assumptions!$A$21:$C$24,3)</f>
        <v/>
      </c>
    </row>
    <row r="146">
      <c r="A146" s="8" t="inlineStr">
        <is>
          <t>SOMERSET</t>
        </is>
      </c>
      <c r="B146" s="8" t="inlineStr">
        <is>
          <t>DR</t>
        </is>
      </c>
      <c r="C146" s="8" t="inlineStr">
        <is>
          <t>Somerset Estates</t>
        </is>
      </c>
      <c r="D146" s="8" t="inlineStr">
        <is>
          <t>No one</t>
        </is>
      </c>
      <c r="E146" s="8" t="n">
        <v>391</v>
      </c>
      <c r="F146" s="20" t="n">
        <v>0.0740530303030303</v>
      </c>
      <c r="G146" s="8" t="n">
        <v>33</v>
      </c>
      <c r="H146" s="21" t="n">
        <v>12903</v>
      </c>
      <c r="I146" s="21" t="n"/>
      <c r="J146" s="21">
        <f>H146+IF(I146="",0,I146)</f>
        <v/>
      </c>
      <c r="K146" s="22" t="n">
        <v>82.94</v>
      </c>
      <c r="L146" s="8" t="inlineStr">
        <is>
          <t>Measured</t>
        </is>
      </c>
      <c r="M146" s="22">
        <f>MAX(0,$K146-Assumptions!$B$12*5)</f>
        <v/>
      </c>
      <c r="N146" s="22">
        <f>MAX(0,$K146-Assumptions!$B$12*10)</f>
        <v/>
      </c>
      <c r="O146" s="22">
        <f>MAX(0,$K146-Assumptions!$B$12*16)</f>
        <v/>
      </c>
      <c r="P146" s="8">
        <f>VLOOKUP($K146,Assumptions!$A$21:$B$24,2)</f>
        <v/>
      </c>
      <c r="Q146" s="8">
        <f>VLOOKUP($M146,Assumptions!$A$21:$B$24,2)</f>
        <v/>
      </c>
      <c r="R146" s="8">
        <f>VLOOKUP($N146,Assumptions!$A$21:$B$24,2)</f>
        <v/>
      </c>
      <c r="S146" s="8">
        <f>VLOOKUP($O146,Assumptions!$A$21:$B$24,2)</f>
        <v/>
      </c>
      <c r="T146" s="21">
        <f>$J146*VLOOKUP($K146,Assumptions!$A$21:$C$24,3)</f>
        <v/>
      </c>
      <c r="U146" s="21">
        <f>$J146*VLOOKUP($M146,Assumptions!$A$21:$C$24,3)</f>
        <v/>
      </c>
      <c r="V146" s="21">
        <f>$J146*VLOOKUP($N146,Assumptions!$A$21:$C$24,3)</f>
        <v/>
      </c>
      <c r="W146" s="21">
        <f>$J146*VLOOKUP($O146,Assumptions!$A$21:$C$24,3)</f>
        <v/>
      </c>
    </row>
    <row r="147">
      <c r="A147" s="8" t="inlineStr">
        <is>
          <t>STRAWBERRY</t>
        </is>
      </c>
      <c r="B147" s="8" t="inlineStr">
        <is>
          <t>CT</t>
        </is>
      </c>
      <c r="C147" s="8" t="inlineStr">
        <is>
          <t>Somerset Estates</t>
        </is>
      </c>
      <c r="D147" s="8" t="inlineStr">
        <is>
          <t>No one</t>
        </is>
      </c>
      <c r="E147" s="8" t="n">
        <v>267.8</v>
      </c>
      <c r="F147" s="20" t="n">
        <v>0.05071969696969697</v>
      </c>
      <c r="G147" s="8" t="n">
        <v>32</v>
      </c>
      <c r="H147" s="21" t="n">
        <v>8569.6</v>
      </c>
      <c r="I147" s="21" t="n">
        <v>2500</v>
      </c>
      <c r="J147" s="21">
        <f>H147+IF(I147="",0,I147)</f>
        <v/>
      </c>
      <c r="K147" s="22" t="n">
        <v>33.6</v>
      </c>
      <c r="L147" s="8" t="inlineStr">
        <is>
          <t>Measured</t>
        </is>
      </c>
      <c r="M147" s="22">
        <f>MAX(0,$K147-Assumptions!$B$12*5)</f>
        <v/>
      </c>
      <c r="N147" s="22">
        <f>MAX(0,$K147-Assumptions!$B$12*10)</f>
        <v/>
      </c>
      <c r="O147" s="22">
        <f>MAX(0,$K147-Assumptions!$B$12*16)</f>
        <v/>
      </c>
      <c r="P147" s="8">
        <f>VLOOKUP($K147,Assumptions!$A$21:$B$24,2)</f>
        <v/>
      </c>
      <c r="Q147" s="8">
        <f>VLOOKUP($M147,Assumptions!$A$21:$B$24,2)</f>
        <v/>
      </c>
      <c r="R147" s="8">
        <f>VLOOKUP($N147,Assumptions!$A$21:$B$24,2)</f>
        <v/>
      </c>
      <c r="S147" s="8">
        <f>VLOOKUP($O147,Assumptions!$A$21:$B$24,2)</f>
        <v/>
      </c>
      <c r="T147" s="21">
        <f>$J147*VLOOKUP($K147,Assumptions!$A$21:$C$24,3)</f>
        <v/>
      </c>
      <c r="U147" s="21">
        <f>$J147*VLOOKUP($M147,Assumptions!$A$21:$C$24,3)</f>
        <v/>
      </c>
      <c r="V147" s="21">
        <f>$J147*VLOOKUP($N147,Assumptions!$A$21:$C$24,3)</f>
        <v/>
      </c>
      <c r="W147" s="21">
        <f>$J147*VLOOKUP($O147,Assumptions!$A$21:$C$24,3)</f>
        <v/>
      </c>
    </row>
    <row r="148">
      <c r="A148" s="8" t="inlineStr">
        <is>
          <t>STRAWBERRY</t>
        </is>
      </c>
      <c r="B148" s="8" t="inlineStr">
        <is>
          <t>LN</t>
        </is>
      </c>
      <c r="C148" s="8" t="inlineStr">
        <is>
          <t>Somerset Estates</t>
        </is>
      </c>
      <c r="D148" s="8" t="inlineStr">
        <is>
          <t>No one</t>
        </is>
      </c>
      <c r="E148" s="8" t="n">
        <v>1658.7</v>
      </c>
      <c r="F148" s="20" t="n">
        <v>0.3141477272727273</v>
      </c>
      <c r="G148" s="8" t="n">
        <v>32</v>
      </c>
      <c r="H148" s="21" t="n">
        <v>53078.4</v>
      </c>
      <c r="I148" s="21" t="n"/>
      <c r="J148" s="21">
        <f>H148+IF(I148="",0,I148)</f>
        <v/>
      </c>
      <c r="K148" s="22" t="n">
        <v>48.38</v>
      </c>
      <c r="L148" s="8" t="inlineStr">
        <is>
          <t>Measured</t>
        </is>
      </c>
      <c r="M148" s="22">
        <f>MAX(0,$K148-Assumptions!$B$12*5)</f>
        <v/>
      </c>
      <c r="N148" s="22">
        <f>MAX(0,$K148-Assumptions!$B$12*10)</f>
        <v/>
      </c>
      <c r="O148" s="22">
        <f>MAX(0,$K148-Assumptions!$B$12*16)</f>
        <v/>
      </c>
      <c r="P148" s="8">
        <f>VLOOKUP($K148,Assumptions!$A$21:$B$24,2)</f>
        <v/>
      </c>
      <c r="Q148" s="8">
        <f>VLOOKUP($M148,Assumptions!$A$21:$B$24,2)</f>
        <v/>
      </c>
      <c r="R148" s="8">
        <f>VLOOKUP($N148,Assumptions!$A$21:$B$24,2)</f>
        <v/>
      </c>
      <c r="S148" s="8">
        <f>VLOOKUP($O148,Assumptions!$A$21:$B$24,2)</f>
        <v/>
      </c>
      <c r="T148" s="21">
        <f>$J148*VLOOKUP($K148,Assumptions!$A$21:$C$24,3)</f>
        <v/>
      </c>
      <c r="U148" s="21">
        <f>$J148*VLOOKUP($M148,Assumptions!$A$21:$C$24,3)</f>
        <v/>
      </c>
      <c r="V148" s="21">
        <f>$J148*VLOOKUP($N148,Assumptions!$A$21:$C$24,3)</f>
        <v/>
      </c>
      <c r="W148" s="21">
        <f>$J148*VLOOKUP($O148,Assumptions!$A$21:$C$24,3)</f>
        <v/>
      </c>
    </row>
    <row r="149">
      <c r="A149" s="8" t="inlineStr">
        <is>
          <t>GREENWOOD</t>
        </is>
      </c>
      <c r="B149" s="8" t="inlineStr">
        <is>
          <t>PL</t>
        </is>
      </c>
      <c r="C149" s="8" t="inlineStr">
        <is>
          <t>Springhill</t>
        </is>
      </c>
      <c r="D149" s="8" t="inlineStr">
        <is>
          <t>No one</t>
        </is>
      </c>
      <c r="E149" s="8" t="n">
        <v>734.2</v>
      </c>
      <c r="F149" s="20" t="n">
        <v>0.1390530303030303</v>
      </c>
      <c r="G149" s="8" t="n">
        <v>32</v>
      </c>
      <c r="H149" s="21" t="n">
        <v>23494.4</v>
      </c>
      <c r="I149" s="21" t="n">
        <v>2500</v>
      </c>
      <c r="J149" s="21">
        <f>H149+IF(I149="",0,I149)</f>
        <v/>
      </c>
      <c r="K149" s="22" t="n">
        <v>7.76</v>
      </c>
      <c r="L149" s="8" t="inlineStr">
        <is>
          <t>Measured</t>
        </is>
      </c>
      <c r="M149" s="22">
        <f>MAX(0,$K149-Assumptions!$B$12*5)</f>
        <v/>
      </c>
      <c r="N149" s="22">
        <f>MAX(0,$K149-Assumptions!$B$12*10)</f>
        <v/>
      </c>
      <c r="O149" s="22">
        <f>MAX(0,$K149-Assumptions!$B$12*16)</f>
        <v/>
      </c>
      <c r="P149" s="8">
        <f>VLOOKUP($K149,Assumptions!$A$21:$B$24,2)</f>
        <v/>
      </c>
      <c r="Q149" s="8">
        <f>VLOOKUP($M149,Assumptions!$A$21:$B$24,2)</f>
        <v/>
      </c>
      <c r="R149" s="8">
        <f>VLOOKUP($N149,Assumptions!$A$21:$B$24,2)</f>
        <v/>
      </c>
      <c r="S149" s="8">
        <f>VLOOKUP($O149,Assumptions!$A$21:$B$24,2)</f>
        <v/>
      </c>
      <c r="T149" s="21">
        <f>$J149*VLOOKUP($K149,Assumptions!$A$21:$C$24,3)</f>
        <v/>
      </c>
      <c r="U149" s="21">
        <f>$J149*VLOOKUP($M149,Assumptions!$A$21:$C$24,3)</f>
        <v/>
      </c>
      <c r="V149" s="21">
        <f>$J149*VLOOKUP($N149,Assumptions!$A$21:$C$24,3)</f>
        <v/>
      </c>
      <c r="W149" s="21">
        <f>$J149*VLOOKUP($O149,Assumptions!$A$21:$C$24,3)</f>
        <v/>
      </c>
    </row>
    <row r="150">
      <c r="A150" s="8" t="inlineStr">
        <is>
          <t>CHENEY</t>
        </is>
      </c>
      <c r="B150" s="8" t="inlineStr">
        <is>
          <t>CT</t>
        </is>
      </c>
      <c r="C150" s="8" t="inlineStr">
        <is>
          <t>Springhill</t>
        </is>
      </c>
      <c r="D150" s="8" t="inlineStr">
        <is>
          <t>No one</t>
        </is>
      </c>
      <c r="E150" s="8" t="n">
        <v>726.8</v>
      </c>
      <c r="F150" s="20" t="n">
        <v>0.1376515151515151</v>
      </c>
      <c r="G150" s="8" t="n">
        <v>32</v>
      </c>
      <c r="H150" s="21" t="n">
        <v>23257.6</v>
      </c>
      <c r="I150" s="21" t="n">
        <v>2500</v>
      </c>
      <c r="J150" s="21">
        <f>H150+IF(I150="",0,I150)</f>
        <v/>
      </c>
      <c r="K150" s="22" t="n">
        <v>1.54</v>
      </c>
      <c r="L150" s="8" t="inlineStr">
        <is>
          <t>Measured</t>
        </is>
      </c>
      <c r="M150" s="22">
        <f>MAX(0,$K150-Assumptions!$B$12*5)</f>
        <v/>
      </c>
      <c r="N150" s="22">
        <f>MAX(0,$K150-Assumptions!$B$12*10)</f>
        <v/>
      </c>
      <c r="O150" s="22">
        <f>MAX(0,$K150-Assumptions!$B$12*16)</f>
        <v/>
      </c>
      <c r="P150" s="8">
        <f>VLOOKUP($K150,Assumptions!$A$21:$B$24,2)</f>
        <v/>
      </c>
      <c r="Q150" s="8">
        <f>VLOOKUP($M150,Assumptions!$A$21:$B$24,2)</f>
        <v/>
      </c>
      <c r="R150" s="8">
        <f>VLOOKUP($N150,Assumptions!$A$21:$B$24,2)</f>
        <v/>
      </c>
      <c r="S150" s="8">
        <f>VLOOKUP($O150,Assumptions!$A$21:$B$24,2)</f>
        <v/>
      </c>
      <c r="T150" s="21">
        <f>$J150*VLOOKUP($K150,Assumptions!$A$21:$C$24,3)</f>
        <v/>
      </c>
      <c r="U150" s="21">
        <f>$J150*VLOOKUP($M150,Assumptions!$A$21:$C$24,3)</f>
        <v/>
      </c>
      <c r="V150" s="21">
        <f>$J150*VLOOKUP($N150,Assumptions!$A$21:$C$24,3)</f>
        <v/>
      </c>
      <c r="W150" s="21">
        <f>$J150*VLOOKUP($O150,Assumptions!$A$21:$C$24,3)</f>
        <v/>
      </c>
    </row>
    <row r="151">
      <c r="A151" s="8" t="inlineStr">
        <is>
          <t>SAWTOOTH</t>
        </is>
      </c>
      <c r="B151" s="8" t="inlineStr">
        <is>
          <t>LN</t>
        </is>
      </c>
      <c r="C151" s="8" t="inlineStr">
        <is>
          <t>Springhill</t>
        </is>
      </c>
      <c r="D151" s="8" t="inlineStr">
        <is>
          <t>No one</t>
        </is>
      </c>
      <c r="E151" s="8" t="n">
        <v>1320.8</v>
      </c>
      <c r="F151" s="20" t="n">
        <v>0.2501515151515151</v>
      </c>
      <c r="G151" s="8" t="n">
        <v>32</v>
      </c>
      <c r="H151" s="21" t="n">
        <v>42265.6</v>
      </c>
      <c r="I151" s="21" t="n"/>
      <c r="J151" s="21">
        <f>H151+IF(I151="",0,I151)</f>
        <v/>
      </c>
      <c r="K151" s="22" t="n">
        <v>16.23</v>
      </c>
      <c r="L151" s="8" t="inlineStr">
        <is>
          <t>Measured</t>
        </is>
      </c>
      <c r="M151" s="22">
        <f>MAX(0,$K151-Assumptions!$B$12*5)</f>
        <v/>
      </c>
      <c r="N151" s="22">
        <f>MAX(0,$K151-Assumptions!$B$12*10)</f>
        <v/>
      </c>
      <c r="O151" s="22">
        <f>MAX(0,$K151-Assumptions!$B$12*16)</f>
        <v/>
      </c>
      <c r="P151" s="8">
        <f>VLOOKUP($K151,Assumptions!$A$21:$B$24,2)</f>
        <v/>
      </c>
      <c r="Q151" s="8">
        <f>VLOOKUP($M151,Assumptions!$A$21:$B$24,2)</f>
        <v/>
      </c>
      <c r="R151" s="8">
        <f>VLOOKUP($N151,Assumptions!$A$21:$B$24,2)</f>
        <v/>
      </c>
      <c r="S151" s="8">
        <f>VLOOKUP($O151,Assumptions!$A$21:$B$24,2)</f>
        <v/>
      </c>
      <c r="T151" s="21">
        <f>$J151*VLOOKUP($K151,Assumptions!$A$21:$C$24,3)</f>
        <v/>
      </c>
      <c r="U151" s="21">
        <f>$J151*VLOOKUP($M151,Assumptions!$A$21:$C$24,3)</f>
        <v/>
      </c>
      <c r="V151" s="21">
        <f>$J151*VLOOKUP($N151,Assumptions!$A$21:$C$24,3)</f>
        <v/>
      </c>
      <c r="W151" s="21">
        <f>$J151*VLOOKUP($O151,Assumptions!$A$21:$C$24,3)</f>
        <v/>
      </c>
    </row>
    <row r="152">
      <c r="A152" s="8" t="inlineStr">
        <is>
          <t>SPRINGHILL</t>
        </is>
      </c>
      <c r="B152" s="8" t="inlineStr">
        <is>
          <t>DR</t>
        </is>
      </c>
      <c r="C152" s="8" t="inlineStr">
        <is>
          <t>Springhill</t>
        </is>
      </c>
      <c r="D152" s="8" t="inlineStr">
        <is>
          <t>No one</t>
        </is>
      </c>
      <c r="E152" s="8" t="n">
        <v>1664</v>
      </c>
      <c r="F152" s="20" t="n">
        <v>0.3151515151515151</v>
      </c>
      <c r="G152" s="8" t="n">
        <v>32</v>
      </c>
      <c r="H152" s="21" t="n">
        <v>53247.99999999999</v>
      </c>
      <c r="I152" s="21" t="n">
        <v>5000</v>
      </c>
      <c r="J152" s="21">
        <f>H152+IF(I152="",0,I152)</f>
        <v/>
      </c>
      <c r="K152" s="22" t="n">
        <v>7.9</v>
      </c>
      <c r="L152" s="8" t="inlineStr">
        <is>
          <t>Measured</t>
        </is>
      </c>
      <c r="M152" s="22">
        <f>MAX(0,$K152-Assumptions!$B$12*5)</f>
        <v/>
      </c>
      <c r="N152" s="22">
        <f>MAX(0,$K152-Assumptions!$B$12*10)</f>
        <v/>
      </c>
      <c r="O152" s="22">
        <f>MAX(0,$K152-Assumptions!$B$12*16)</f>
        <v/>
      </c>
      <c r="P152" s="8">
        <f>VLOOKUP($K152,Assumptions!$A$21:$B$24,2)</f>
        <v/>
      </c>
      <c r="Q152" s="8">
        <f>VLOOKUP($M152,Assumptions!$A$21:$B$24,2)</f>
        <v/>
      </c>
      <c r="R152" s="8">
        <f>VLOOKUP($N152,Assumptions!$A$21:$B$24,2)</f>
        <v/>
      </c>
      <c r="S152" s="8">
        <f>VLOOKUP($O152,Assumptions!$A$21:$B$24,2)</f>
        <v/>
      </c>
      <c r="T152" s="21">
        <f>$J152*VLOOKUP($K152,Assumptions!$A$21:$C$24,3)</f>
        <v/>
      </c>
      <c r="U152" s="21">
        <f>$J152*VLOOKUP($M152,Assumptions!$A$21:$C$24,3)</f>
        <v/>
      </c>
      <c r="V152" s="21">
        <f>$J152*VLOOKUP($N152,Assumptions!$A$21:$C$24,3)</f>
        <v/>
      </c>
      <c r="W152" s="21">
        <f>$J152*VLOOKUP($O152,Assumptions!$A$21:$C$24,3)</f>
        <v/>
      </c>
    </row>
    <row r="153">
      <c r="A153" s="8" t="inlineStr">
        <is>
          <t>WILLOW</t>
        </is>
      </c>
      <c r="B153" s="8" t="inlineStr">
        <is>
          <t>LN</t>
        </is>
      </c>
      <c r="C153" s="8" t="inlineStr">
        <is>
          <t>Springhill</t>
        </is>
      </c>
      <c r="D153" s="8" t="inlineStr">
        <is>
          <t>No one</t>
        </is>
      </c>
      <c r="E153" s="8" t="n">
        <v>701</v>
      </c>
      <c r="F153" s="20" t="n">
        <v>0.1327651515151515</v>
      </c>
      <c r="G153" s="8" t="n">
        <v>32</v>
      </c>
      <c r="H153" s="21" t="n">
        <v>22432</v>
      </c>
      <c r="I153" s="21" t="n"/>
      <c r="J153" s="21">
        <f>H153+IF(I153="",0,I153)</f>
        <v/>
      </c>
      <c r="K153" s="22" t="n">
        <v>1.07</v>
      </c>
      <c r="L153" s="8" t="inlineStr">
        <is>
          <t>Measured</t>
        </is>
      </c>
      <c r="M153" s="22">
        <f>MAX(0,$K153-Assumptions!$B$12*5)</f>
        <v/>
      </c>
      <c r="N153" s="22">
        <f>MAX(0,$K153-Assumptions!$B$12*10)</f>
        <v/>
      </c>
      <c r="O153" s="22">
        <f>MAX(0,$K153-Assumptions!$B$12*16)</f>
        <v/>
      </c>
      <c r="P153" s="8">
        <f>VLOOKUP($K153,Assumptions!$A$21:$B$24,2)</f>
        <v/>
      </c>
      <c r="Q153" s="8">
        <f>VLOOKUP($M153,Assumptions!$A$21:$B$24,2)</f>
        <v/>
      </c>
      <c r="R153" s="8">
        <f>VLOOKUP($N153,Assumptions!$A$21:$B$24,2)</f>
        <v/>
      </c>
      <c r="S153" s="8">
        <f>VLOOKUP($O153,Assumptions!$A$21:$B$24,2)</f>
        <v/>
      </c>
      <c r="T153" s="21">
        <f>$J153*VLOOKUP($K153,Assumptions!$A$21:$C$24,3)</f>
        <v/>
      </c>
      <c r="U153" s="21">
        <f>$J153*VLOOKUP($M153,Assumptions!$A$21:$C$24,3)</f>
        <v/>
      </c>
      <c r="V153" s="21">
        <f>$J153*VLOOKUP($N153,Assumptions!$A$21:$C$24,3)</f>
        <v/>
      </c>
      <c r="W153" s="21">
        <f>$J153*VLOOKUP($O153,Assumptions!$A$21:$C$24,3)</f>
        <v/>
      </c>
    </row>
    <row r="154">
      <c r="A154" s="8" t="inlineStr">
        <is>
          <t>WATERFORD</t>
        </is>
      </c>
      <c r="B154" s="8" t="inlineStr">
        <is>
          <t>CT</t>
        </is>
      </c>
      <c r="C154" s="8" t="inlineStr">
        <is>
          <t>Waterford Park</t>
        </is>
      </c>
      <c r="D154" s="8" t="inlineStr">
        <is>
          <t>No one</t>
        </is>
      </c>
      <c r="E154" s="8" t="n">
        <v>297.8</v>
      </c>
      <c r="F154" s="20" t="n">
        <v>0.05640151515151515</v>
      </c>
      <c r="G154" s="8" t="n">
        <v>25</v>
      </c>
      <c r="H154" s="21" t="n">
        <v>7445</v>
      </c>
      <c r="I154" s="21" t="n">
        <v>2500</v>
      </c>
      <c r="J154" s="21">
        <f>H154+IF(I154="",0,I154)</f>
        <v/>
      </c>
      <c r="K154" s="22" t="n">
        <v>5.6</v>
      </c>
      <c r="L154" s="8" t="inlineStr">
        <is>
          <t>Measured</t>
        </is>
      </c>
      <c r="M154" s="22">
        <f>MAX(0,$K154-Assumptions!$B$12*5)</f>
        <v/>
      </c>
      <c r="N154" s="22">
        <f>MAX(0,$K154-Assumptions!$B$12*10)</f>
        <v/>
      </c>
      <c r="O154" s="22">
        <f>MAX(0,$K154-Assumptions!$B$12*16)</f>
        <v/>
      </c>
      <c r="P154" s="8">
        <f>VLOOKUP($K154,Assumptions!$A$21:$B$24,2)</f>
        <v/>
      </c>
      <c r="Q154" s="8">
        <f>VLOOKUP($M154,Assumptions!$A$21:$B$24,2)</f>
        <v/>
      </c>
      <c r="R154" s="8">
        <f>VLOOKUP($N154,Assumptions!$A$21:$B$24,2)</f>
        <v/>
      </c>
      <c r="S154" s="8">
        <f>VLOOKUP($O154,Assumptions!$A$21:$B$24,2)</f>
        <v/>
      </c>
      <c r="T154" s="21">
        <f>$J154*VLOOKUP($K154,Assumptions!$A$21:$C$24,3)</f>
        <v/>
      </c>
      <c r="U154" s="21">
        <f>$J154*VLOOKUP($M154,Assumptions!$A$21:$C$24,3)</f>
        <v/>
      </c>
      <c r="V154" s="21">
        <f>$J154*VLOOKUP($N154,Assumptions!$A$21:$C$24,3)</f>
        <v/>
      </c>
      <c r="W154" s="21">
        <f>$J154*VLOOKUP($O154,Assumptions!$A$21:$C$24,3)</f>
        <v/>
      </c>
    </row>
    <row r="155">
      <c r="A155" s="8" t="inlineStr">
        <is>
          <t>WATERFORD</t>
        </is>
      </c>
      <c r="B155" s="8" t="inlineStr">
        <is>
          <t>WAY</t>
        </is>
      </c>
      <c r="C155" s="8" t="inlineStr">
        <is>
          <t>Waterford Park</t>
        </is>
      </c>
      <c r="D155" s="8" t="inlineStr">
        <is>
          <t>No one</t>
        </is>
      </c>
      <c r="E155" s="8" t="n">
        <v>661.9</v>
      </c>
      <c r="F155" s="20" t="n">
        <v>0.1253598484848485</v>
      </c>
      <c r="G155" s="8" t="n">
        <v>27</v>
      </c>
      <c r="H155" s="21" t="n">
        <v>17871.3</v>
      </c>
      <c r="I155" s="21" t="n">
        <v>2500</v>
      </c>
      <c r="J155" s="21">
        <f>H155+IF(I155="",0,I155)</f>
        <v/>
      </c>
      <c r="K155" s="22" t="n">
        <v>16.91</v>
      </c>
      <c r="L155" s="8" t="inlineStr">
        <is>
          <t>Measured</t>
        </is>
      </c>
      <c r="M155" s="22">
        <f>MAX(0,$K155-Assumptions!$B$12*5)</f>
        <v/>
      </c>
      <c r="N155" s="22">
        <f>MAX(0,$K155-Assumptions!$B$12*10)</f>
        <v/>
      </c>
      <c r="O155" s="22">
        <f>MAX(0,$K155-Assumptions!$B$12*16)</f>
        <v/>
      </c>
      <c r="P155" s="8">
        <f>VLOOKUP($K155,Assumptions!$A$21:$B$24,2)</f>
        <v/>
      </c>
      <c r="Q155" s="8">
        <f>VLOOKUP($M155,Assumptions!$A$21:$B$24,2)</f>
        <v/>
      </c>
      <c r="R155" s="8">
        <f>VLOOKUP($N155,Assumptions!$A$21:$B$24,2)</f>
        <v/>
      </c>
      <c r="S155" s="8">
        <f>VLOOKUP($O155,Assumptions!$A$21:$B$24,2)</f>
        <v/>
      </c>
      <c r="T155" s="21">
        <f>$J155*VLOOKUP($K155,Assumptions!$A$21:$C$24,3)</f>
        <v/>
      </c>
      <c r="U155" s="21">
        <f>$J155*VLOOKUP($M155,Assumptions!$A$21:$C$24,3)</f>
        <v/>
      </c>
      <c r="V155" s="21">
        <f>$J155*VLOOKUP($N155,Assumptions!$A$21:$C$24,3)</f>
        <v/>
      </c>
      <c r="W155" s="21">
        <f>$J155*VLOOKUP($O155,Assumptions!$A$21:$C$24,3)</f>
        <v/>
      </c>
    </row>
    <row r="156">
      <c r="A156" s="8" t="inlineStr">
        <is>
          <t>ELM</t>
        </is>
      </c>
      <c r="B156" s="8" t="inlineStr">
        <is>
          <t>ST</t>
        </is>
      </c>
      <c r="C156" s="8" t="n"/>
      <c r="D156" s="8" t="inlineStr">
        <is>
          <t>No one</t>
        </is>
      </c>
      <c r="E156" s="8" t="n">
        <v>1290.3</v>
      </c>
      <c r="F156" s="20" t="n">
        <v>0.244375</v>
      </c>
      <c r="G156" s="8" t="n">
        <v>24</v>
      </c>
      <c r="H156" s="21" t="n">
        <v>30967.2</v>
      </c>
      <c r="I156" s="21" t="n"/>
      <c r="J156" s="21">
        <f>H156+IF(I156="",0,I156)</f>
        <v/>
      </c>
      <c r="K156" s="22" t="n">
        <v>55.22</v>
      </c>
      <c r="L156" s="8" t="inlineStr">
        <is>
          <t>Measured</t>
        </is>
      </c>
      <c r="M156" s="22">
        <f>MAX(0,$K156-Assumptions!$B$12*5)</f>
        <v/>
      </c>
      <c r="N156" s="22">
        <f>MAX(0,$K156-Assumptions!$B$12*10)</f>
        <v/>
      </c>
      <c r="O156" s="22">
        <f>MAX(0,$K156-Assumptions!$B$12*16)</f>
        <v/>
      </c>
      <c r="P156" s="8">
        <f>VLOOKUP($K156,Assumptions!$A$21:$B$24,2)</f>
        <v/>
      </c>
      <c r="Q156" s="8">
        <f>VLOOKUP($M156,Assumptions!$A$21:$B$24,2)</f>
        <v/>
      </c>
      <c r="R156" s="8">
        <f>VLOOKUP($N156,Assumptions!$A$21:$B$24,2)</f>
        <v/>
      </c>
      <c r="S156" s="8">
        <f>VLOOKUP($O156,Assumptions!$A$21:$B$24,2)</f>
        <v/>
      </c>
      <c r="T156" s="21">
        <f>$J156*VLOOKUP($K156,Assumptions!$A$21:$C$24,3)</f>
        <v/>
      </c>
      <c r="U156" s="21">
        <f>$J156*VLOOKUP($M156,Assumptions!$A$21:$C$24,3)</f>
        <v/>
      </c>
      <c r="V156" s="21">
        <f>$J156*VLOOKUP($N156,Assumptions!$A$21:$C$24,3)</f>
        <v/>
      </c>
      <c r="W156" s="21">
        <f>$J156*VLOOKUP($O156,Assumptions!$A$21:$C$24,3)</f>
        <v/>
      </c>
    </row>
    <row r="157">
      <c r="A157" s="8" t="inlineStr">
        <is>
          <t>Niwot Road</t>
        </is>
      </c>
      <c r="B157" s="8" t="n"/>
      <c r="C157" s="8" t="inlineStr">
        <is>
          <t>Overlay in 2019</t>
        </is>
      </c>
      <c r="D157" s="8" t="inlineStr">
        <is>
          <t>Boulder County</t>
        </is>
      </c>
      <c r="E157" s="8" t="n">
        <v>11030</v>
      </c>
      <c r="F157" s="20" t="n">
        <v>2.089015151515151</v>
      </c>
      <c r="G157" s="8" t="n">
        <v>30</v>
      </c>
      <c r="H157" s="21" t="n">
        <v>330900</v>
      </c>
      <c r="I157" s="21" t="n"/>
      <c r="J157" s="21">
        <f>H157+IF(I157="",0,I157)</f>
        <v/>
      </c>
      <c r="K157" s="23" t="n">
        <v>80</v>
      </c>
      <c r="L157" s="24" t="inlineStr">
        <is>
          <t>Estimated</t>
        </is>
      </c>
      <c r="M157" s="22">
        <f>MAX(0,$K157-Assumptions!$B$12*5)</f>
        <v/>
      </c>
      <c r="N157" s="22">
        <f>MAX(0,$K157-Assumptions!$B$12*10)</f>
        <v/>
      </c>
      <c r="O157" s="22">
        <f>MAX(0,$K157-Assumptions!$B$12*16)</f>
        <v/>
      </c>
      <c r="P157" s="8">
        <f>VLOOKUP($K157,Assumptions!$A$21:$B$24,2)</f>
        <v/>
      </c>
      <c r="Q157" s="8">
        <f>VLOOKUP($M157,Assumptions!$A$21:$B$24,2)</f>
        <v/>
      </c>
      <c r="R157" s="8">
        <f>VLOOKUP($N157,Assumptions!$A$21:$B$24,2)</f>
        <v/>
      </c>
      <c r="S157" s="8">
        <f>VLOOKUP($O157,Assumptions!$A$21:$B$24,2)</f>
        <v/>
      </c>
      <c r="T157" s="21">
        <f>$J157*VLOOKUP($K157,Assumptions!$A$21:$C$24,3)</f>
        <v/>
      </c>
      <c r="U157" s="21">
        <f>$J157*VLOOKUP($M157,Assumptions!$A$21:$C$24,3)</f>
        <v/>
      </c>
      <c r="V157" s="21">
        <f>$J157*VLOOKUP($N157,Assumptions!$A$21:$C$24,3)</f>
        <v/>
      </c>
      <c r="W157" s="21">
        <f>$J157*VLOOKUP($O157,Assumptions!$A$21:$C$24,3)</f>
        <v/>
      </c>
    </row>
    <row r="158">
      <c r="A158" s="8" t="inlineStr">
        <is>
          <t>N 83rd</t>
        </is>
      </c>
      <c r="B158" s="8" t="n"/>
      <c r="C158" s="8" t="inlineStr">
        <is>
          <t>Reconstruct in 2017</t>
        </is>
      </c>
      <c r="D158" s="8" t="inlineStr">
        <is>
          <t>Boulder County</t>
        </is>
      </c>
      <c r="E158" s="8" t="n">
        <v>2650</v>
      </c>
      <c r="F158" s="20" t="n">
        <v>0.5018939393939394</v>
      </c>
      <c r="G158" s="8" t="n">
        <v>30</v>
      </c>
      <c r="H158" s="21" t="n">
        <v>79500.00000000001</v>
      </c>
      <c r="I158" s="21" t="n"/>
      <c r="J158" s="21">
        <f>H158+IF(I158="",0,I158)</f>
        <v/>
      </c>
      <c r="K158" s="23" t="n">
        <v>80</v>
      </c>
      <c r="L158" s="24" t="inlineStr">
        <is>
          <t>Estimated</t>
        </is>
      </c>
      <c r="M158" s="22">
        <f>MAX(0,$K158-Assumptions!$B$12*5)</f>
        <v/>
      </c>
      <c r="N158" s="22">
        <f>MAX(0,$K158-Assumptions!$B$12*10)</f>
        <v/>
      </c>
      <c r="O158" s="22">
        <f>MAX(0,$K158-Assumptions!$B$12*16)</f>
        <v/>
      </c>
      <c r="P158" s="8">
        <f>VLOOKUP($K158,Assumptions!$A$21:$B$24,2)</f>
        <v/>
      </c>
      <c r="Q158" s="8">
        <f>VLOOKUP($M158,Assumptions!$A$21:$B$24,2)</f>
        <v/>
      </c>
      <c r="R158" s="8">
        <f>VLOOKUP($N158,Assumptions!$A$21:$B$24,2)</f>
        <v/>
      </c>
      <c r="S158" s="8">
        <f>VLOOKUP($O158,Assumptions!$A$21:$B$24,2)</f>
        <v/>
      </c>
      <c r="T158" s="21">
        <f>$J158*VLOOKUP($K158,Assumptions!$A$21:$C$24,3)</f>
        <v/>
      </c>
      <c r="U158" s="21">
        <f>$J158*VLOOKUP($M158,Assumptions!$A$21:$C$24,3)</f>
        <v/>
      </c>
      <c r="V158" s="21">
        <f>$J158*VLOOKUP($N158,Assumptions!$A$21:$C$24,3)</f>
        <v/>
      </c>
      <c r="W158" s="21">
        <f>$J158*VLOOKUP($O158,Assumptions!$A$21:$C$24,3)</f>
        <v/>
      </c>
    </row>
    <row r="159">
      <c r="A159" s="8" t="inlineStr">
        <is>
          <t>N 79th</t>
        </is>
      </c>
      <c r="B159" s="8" t="n"/>
      <c r="C159" s="8" t="inlineStr">
        <is>
          <t>Overlay in 2022</t>
        </is>
      </c>
      <c r="D159" s="8" t="inlineStr">
        <is>
          <t>Boulder County</t>
        </is>
      </c>
      <c r="E159" s="8" t="n">
        <v>3700</v>
      </c>
      <c r="F159" s="20" t="n">
        <v>0.7007575757575758</v>
      </c>
      <c r="G159" s="8" t="n">
        <v>31</v>
      </c>
      <c r="H159" s="21" t="n">
        <v>114700</v>
      </c>
      <c r="I159" s="21" t="n"/>
      <c r="J159" s="21">
        <f>H159+IF(I159="",0,I159)</f>
        <v/>
      </c>
      <c r="K159" s="23" t="n">
        <v>80</v>
      </c>
      <c r="L159" s="24" t="inlineStr">
        <is>
          <t>Estimated</t>
        </is>
      </c>
      <c r="M159" s="22">
        <f>MAX(0,$K159-Assumptions!$B$12*5)</f>
        <v/>
      </c>
      <c r="N159" s="22">
        <f>MAX(0,$K159-Assumptions!$B$12*10)</f>
        <v/>
      </c>
      <c r="O159" s="22">
        <f>MAX(0,$K159-Assumptions!$B$12*16)</f>
        <v/>
      </c>
      <c r="P159" s="8">
        <f>VLOOKUP($K159,Assumptions!$A$21:$B$24,2)</f>
        <v/>
      </c>
      <c r="Q159" s="8">
        <f>VLOOKUP($M159,Assumptions!$A$21:$B$24,2)</f>
        <v/>
      </c>
      <c r="R159" s="8">
        <f>VLOOKUP($N159,Assumptions!$A$21:$B$24,2)</f>
        <v/>
      </c>
      <c r="S159" s="8">
        <f>VLOOKUP($O159,Assumptions!$A$21:$B$24,2)</f>
        <v/>
      </c>
      <c r="T159" s="21">
        <f>$J159*VLOOKUP($K159,Assumptions!$A$21:$C$24,3)</f>
        <v/>
      </c>
      <c r="U159" s="21">
        <f>$J159*VLOOKUP($M159,Assumptions!$A$21:$C$24,3)</f>
        <v/>
      </c>
      <c r="V159" s="21">
        <f>$J159*VLOOKUP($N159,Assumptions!$A$21:$C$24,3)</f>
        <v/>
      </c>
      <c r="W159" s="21">
        <f>$J159*VLOOKUP($O159,Assumptions!$A$21:$C$24,3)</f>
        <v/>
      </c>
    </row>
    <row r="160">
      <c r="A160" s="8" t="inlineStr">
        <is>
          <t>Monarch</t>
        </is>
      </c>
      <c r="B160" s="8" t="n"/>
      <c r="C160" s="8" t="inlineStr">
        <is>
          <t>Overlay in 2022</t>
        </is>
      </c>
      <c r="D160" s="8" t="inlineStr">
        <is>
          <t>Boulder County</t>
        </is>
      </c>
      <c r="E160" s="8" t="n">
        <v>4050</v>
      </c>
      <c r="F160" s="20" t="n">
        <v>0.7670454545454546</v>
      </c>
      <c r="G160" s="8" t="n">
        <v>24</v>
      </c>
      <c r="H160" s="21" t="n">
        <v>97200</v>
      </c>
      <c r="I160" s="21" t="n"/>
      <c r="J160" s="21">
        <f>H160+IF(I160="",0,I160)</f>
        <v/>
      </c>
      <c r="K160" s="23" t="n">
        <v>80</v>
      </c>
      <c r="L160" s="24" t="inlineStr">
        <is>
          <t>Estimated</t>
        </is>
      </c>
      <c r="M160" s="22">
        <f>MAX(0,$K160-Assumptions!$B$12*5)</f>
        <v/>
      </c>
      <c r="N160" s="22">
        <f>MAX(0,$K160-Assumptions!$B$12*10)</f>
        <v/>
      </c>
      <c r="O160" s="22">
        <f>MAX(0,$K160-Assumptions!$B$12*16)</f>
        <v/>
      </c>
      <c r="P160" s="8">
        <f>VLOOKUP($K160,Assumptions!$A$21:$B$24,2)</f>
        <v/>
      </c>
      <c r="Q160" s="8">
        <f>VLOOKUP($M160,Assumptions!$A$21:$B$24,2)</f>
        <v/>
      </c>
      <c r="R160" s="8">
        <f>VLOOKUP($N160,Assumptions!$A$21:$B$24,2)</f>
        <v/>
      </c>
      <c r="S160" s="8">
        <f>VLOOKUP($O160,Assumptions!$A$21:$B$24,2)</f>
        <v/>
      </c>
      <c r="T160" s="21">
        <f>$J160*VLOOKUP($K160,Assumptions!$A$21:$C$24,3)</f>
        <v/>
      </c>
      <c r="U160" s="21">
        <f>$J160*VLOOKUP($M160,Assumptions!$A$21:$C$24,3)</f>
        <v/>
      </c>
      <c r="V160" s="21">
        <f>$J160*VLOOKUP($N160,Assumptions!$A$21:$C$24,3)</f>
        <v/>
      </c>
      <c r="W160" s="21">
        <f>$J160*VLOOKUP($O160,Assumptions!$A$21:$C$24,3)</f>
        <v/>
      </c>
    </row>
    <row r="161">
      <c r="A161" s="8" t="inlineStr">
        <is>
          <t>2nd Ave</t>
        </is>
      </c>
      <c r="B161" s="8" t="n"/>
      <c r="C161" s="8" t="inlineStr">
        <is>
          <t>Overlay in 2023</t>
        </is>
      </c>
      <c r="D161" s="8" t="inlineStr">
        <is>
          <t>Boulder County</t>
        </is>
      </c>
      <c r="E161" s="8" t="n">
        <v>1220</v>
      </c>
      <c r="F161" s="20" t="n">
        <v>0.231060606060606</v>
      </c>
      <c r="G161" s="8" t="n">
        <v>40</v>
      </c>
      <c r="H161" s="21" t="n">
        <v>48800</v>
      </c>
      <c r="I161" s="21" t="n"/>
      <c r="J161" s="21">
        <f>H161+IF(I161="",0,I161)</f>
        <v/>
      </c>
      <c r="K161" s="23" t="n">
        <v>80</v>
      </c>
      <c r="L161" s="24" t="inlineStr">
        <is>
          <t>Estimated</t>
        </is>
      </c>
      <c r="M161" s="22">
        <f>MAX(0,$K161-Assumptions!$B$12*5)</f>
        <v/>
      </c>
      <c r="N161" s="22">
        <f>MAX(0,$K161-Assumptions!$B$12*10)</f>
        <v/>
      </c>
      <c r="O161" s="22">
        <f>MAX(0,$K161-Assumptions!$B$12*16)</f>
        <v/>
      </c>
      <c r="P161" s="8">
        <f>VLOOKUP($K161,Assumptions!$A$21:$B$24,2)</f>
        <v/>
      </c>
      <c r="Q161" s="8">
        <f>VLOOKUP($M161,Assumptions!$A$21:$B$24,2)</f>
        <v/>
      </c>
      <c r="R161" s="8">
        <f>VLOOKUP($N161,Assumptions!$A$21:$B$24,2)</f>
        <v/>
      </c>
      <c r="S161" s="8">
        <f>VLOOKUP($O161,Assumptions!$A$21:$B$24,2)</f>
        <v/>
      </c>
      <c r="T161" s="21">
        <f>$J161*VLOOKUP($K161,Assumptions!$A$21:$C$24,3)</f>
        <v/>
      </c>
      <c r="U161" s="21">
        <f>$J161*VLOOKUP($M161,Assumptions!$A$21:$C$24,3)</f>
        <v/>
      </c>
      <c r="V161" s="21">
        <f>$J161*VLOOKUP($N161,Assumptions!$A$21:$C$24,3)</f>
        <v/>
      </c>
      <c r="W161" s="21">
        <f>$J161*VLOOKUP($O161,Assumptions!$A$21:$C$24,3)</f>
        <v/>
      </c>
    </row>
    <row r="162">
      <c r="A162" s="8" t="inlineStr">
        <is>
          <t>Franklin</t>
        </is>
      </c>
      <c r="B162" s="8" t="n"/>
      <c r="C162" s="8" t="n"/>
      <c r="D162" s="8" t="inlineStr">
        <is>
          <t>Boulder County</t>
        </is>
      </c>
      <c r="E162" s="8" t="n">
        <v>1700</v>
      </c>
      <c r="F162" s="20" t="n">
        <v>0.321969696969697</v>
      </c>
      <c r="G162" s="8" t="n">
        <v>27</v>
      </c>
      <c r="H162" s="21" t="n">
        <v>45900</v>
      </c>
      <c r="I162" s="21" t="n"/>
      <c r="J162" s="21">
        <f>H162+IF(I162="",0,I162)</f>
        <v/>
      </c>
      <c r="K162" s="23" t="n">
        <v>80</v>
      </c>
      <c r="L162" s="24" t="inlineStr">
        <is>
          <t>Estimated</t>
        </is>
      </c>
      <c r="M162" s="22">
        <f>MAX(0,$K162-Assumptions!$B$12*5)</f>
        <v/>
      </c>
      <c r="N162" s="22">
        <f>MAX(0,$K162-Assumptions!$B$12*10)</f>
        <v/>
      </c>
      <c r="O162" s="22">
        <f>MAX(0,$K162-Assumptions!$B$12*16)</f>
        <v/>
      </c>
      <c r="P162" s="8">
        <f>VLOOKUP($K162,Assumptions!$A$21:$B$24,2)</f>
        <v/>
      </c>
      <c r="Q162" s="8">
        <f>VLOOKUP($M162,Assumptions!$A$21:$B$24,2)</f>
        <v/>
      </c>
      <c r="R162" s="8">
        <f>VLOOKUP($N162,Assumptions!$A$21:$B$24,2)</f>
        <v/>
      </c>
      <c r="S162" s="8">
        <f>VLOOKUP($O162,Assumptions!$A$21:$B$24,2)</f>
        <v/>
      </c>
      <c r="T162" s="21">
        <f>$J162*VLOOKUP($K162,Assumptions!$A$21:$C$24,3)</f>
        <v/>
      </c>
      <c r="U162" s="21">
        <f>$J162*VLOOKUP($M162,Assumptions!$A$21:$C$24,3)</f>
        <v/>
      </c>
      <c r="V162" s="21">
        <f>$J162*VLOOKUP($N162,Assumptions!$A$21:$C$24,3)</f>
        <v/>
      </c>
      <c r="W162" s="21">
        <f>$J162*VLOOKUP($O162,Assumptions!$A$21:$C$24,3)</f>
        <v/>
      </c>
    </row>
    <row r="163">
      <c r="A163" s="8" t="inlineStr">
        <is>
          <t>Neva</t>
        </is>
      </c>
      <c r="B163" s="8" t="n"/>
      <c r="C163" s="8" t="inlineStr">
        <is>
          <t>Reconstuct in 2019</t>
        </is>
      </c>
      <c r="D163" s="8" t="inlineStr">
        <is>
          <t>Boulder County</t>
        </is>
      </c>
      <c r="E163" s="8" t="n">
        <v>2750</v>
      </c>
      <c r="F163" s="20" t="n">
        <v>0.5208333333333334</v>
      </c>
      <c r="G163" s="8" t="n">
        <v>27</v>
      </c>
      <c r="H163" s="21" t="n">
        <v>74250</v>
      </c>
      <c r="I163" s="21" t="n"/>
      <c r="J163" s="21">
        <f>H163+IF(I163="",0,I163)</f>
        <v/>
      </c>
      <c r="K163" s="23" t="n">
        <v>80</v>
      </c>
      <c r="L163" s="24" t="inlineStr">
        <is>
          <t>Estimated</t>
        </is>
      </c>
      <c r="M163" s="22">
        <f>MAX(0,$K163-Assumptions!$B$12*5)</f>
        <v/>
      </c>
      <c r="N163" s="22">
        <f>MAX(0,$K163-Assumptions!$B$12*10)</f>
        <v/>
      </c>
      <c r="O163" s="22">
        <f>MAX(0,$K163-Assumptions!$B$12*16)</f>
        <v/>
      </c>
      <c r="P163" s="8">
        <f>VLOOKUP($K163,Assumptions!$A$21:$B$24,2)</f>
        <v/>
      </c>
      <c r="Q163" s="8">
        <f>VLOOKUP($M163,Assumptions!$A$21:$B$24,2)</f>
        <v/>
      </c>
      <c r="R163" s="8">
        <f>VLOOKUP($N163,Assumptions!$A$21:$B$24,2)</f>
        <v/>
      </c>
      <c r="S163" s="8">
        <f>VLOOKUP($O163,Assumptions!$A$21:$B$24,2)</f>
        <v/>
      </c>
      <c r="T163" s="21">
        <f>$J163*VLOOKUP($K163,Assumptions!$A$21:$C$24,3)</f>
        <v/>
      </c>
      <c r="U163" s="21">
        <f>$J163*VLOOKUP($M163,Assumptions!$A$21:$C$24,3)</f>
        <v/>
      </c>
      <c r="V163" s="21">
        <f>$J163*VLOOKUP($N163,Assumptions!$A$21:$C$24,3)</f>
        <v/>
      </c>
      <c r="W163" s="21">
        <f>$J163*VLOOKUP($O163,Assumptions!$A$21:$C$24,3)</f>
        <v/>
      </c>
    </row>
    <row r="164">
      <c r="A164" s="8" t="inlineStr">
        <is>
          <t>Brittany Place</t>
        </is>
      </c>
      <c r="B164" s="8" t="n"/>
      <c r="C164" s="8" t="inlineStr">
        <is>
          <t>Brittany Place**</t>
        </is>
      </c>
      <c r="D164" s="8" t="inlineStr">
        <is>
          <t>Private HOA</t>
        </is>
      </c>
      <c r="E164" s="8" t="n"/>
      <c r="F164" s="20" t="n">
        <v>0.35</v>
      </c>
      <c r="G164" s="8" t="n">
        <v>26</v>
      </c>
      <c r="H164" s="21" t="n">
        <v>48047.99999999999</v>
      </c>
      <c r="I164" s="21" t="n"/>
      <c r="J164" s="21">
        <f>H164+IF(I164="",0,I164)</f>
        <v/>
      </c>
      <c r="K164" s="23" t="n">
        <v>60</v>
      </c>
      <c r="L164" s="24" t="inlineStr">
        <is>
          <t>Estimated</t>
        </is>
      </c>
      <c r="M164" s="22">
        <f>MAX(0,$K164-Assumptions!$B$12*5)</f>
        <v/>
      </c>
      <c r="N164" s="22">
        <f>MAX(0,$K164-Assumptions!$B$12*10)</f>
        <v/>
      </c>
      <c r="O164" s="22">
        <f>MAX(0,$K164-Assumptions!$B$12*16)</f>
        <v/>
      </c>
      <c r="P164" s="8">
        <f>VLOOKUP($K164,Assumptions!$A$21:$B$24,2)</f>
        <v/>
      </c>
      <c r="Q164" s="8">
        <f>VLOOKUP($M164,Assumptions!$A$21:$B$24,2)</f>
        <v/>
      </c>
      <c r="R164" s="8">
        <f>VLOOKUP($N164,Assumptions!$A$21:$B$24,2)</f>
        <v/>
      </c>
      <c r="S164" s="8">
        <f>VLOOKUP($O164,Assumptions!$A$21:$B$24,2)</f>
        <v/>
      </c>
      <c r="T164" s="21">
        <f>$J164*VLOOKUP($K164,Assumptions!$A$21:$C$24,3)</f>
        <v/>
      </c>
      <c r="U164" s="21">
        <f>$J164*VLOOKUP($M164,Assumptions!$A$21:$C$24,3)</f>
        <v/>
      </c>
      <c r="V164" s="21">
        <f>$J164*VLOOKUP($N164,Assumptions!$A$21:$C$24,3)</f>
        <v/>
      </c>
      <c r="W164" s="21">
        <f>$J164*VLOOKUP($O164,Assumptions!$A$21:$C$24,3)</f>
        <v/>
      </c>
    </row>
    <row r="165">
      <c r="A165" s="8" t="inlineStr">
        <is>
          <t>Stable Dr</t>
        </is>
      </c>
      <c r="B165" s="8" t="n"/>
      <c r="C165" s="8" t="inlineStr">
        <is>
          <t>Brittany Place**</t>
        </is>
      </c>
      <c r="D165" s="8" t="inlineStr">
        <is>
          <t>Private HOA</t>
        </is>
      </c>
      <c r="E165" s="8" t="n"/>
      <c r="F165" s="20" t="n">
        <v>0.04</v>
      </c>
      <c r="G165" s="8" t="n">
        <v>12</v>
      </c>
      <c r="H165" s="21" t="n">
        <v>2534.4</v>
      </c>
      <c r="I165" s="21" t="n"/>
      <c r="J165" s="21">
        <f>H165+IF(I165="",0,I165)</f>
        <v/>
      </c>
      <c r="K165" s="23" t="n">
        <v>60</v>
      </c>
      <c r="L165" s="24" t="inlineStr">
        <is>
          <t>Estimated</t>
        </is>
      </c>
      <c r="M165" s="22">
        <f>MAX(0,$K165-Assumptions!$B$12*5)</f>
        <v/>
      </c>
      <c r="N165" s="22">
        <f>MAX(0,$K165-Assumptions!$B$12*10)</f>
        <v/>
      </c>
      <c r="O165" s="22">
        <f>MAX(0,$K165-Assumptions!$B$12*16)</f>
        <v/>
      </c>
      <c r="P165" s="8">
        <f>VLOOKUP($K165,Assumptions!$A$21:$B$24,2)</f>
        <v/>
      </c>
      <c r="Q165" s="8">
        <f>VLOOKUP($M165,Assumptions!$A$21:$B$24,2)</f>
        <v/>
      </c>
      <c r="R165" s="8">
        <f>VLOOKUP($N165,Assumptions!$A$21:$B$24,2)</f>
        <v/>
      </c>
      <c r="S165" s="8">
        <f>VLOOKUP($O165,Assumptions!$A$21:$B$24,2)</f>
        <v/>
      </c>
      <c r="T165" s="21">
        <f>$J165*VLOOKUP($K165,Assumptions!$A$21:$C$24,3)</f>
        <v/>
      </c>
      <c r="U165" s="21">
        <f>$J165*VLOOKUP($M165,Assumptions!$A$21:$C$24,3)</f>
        <v/>
      </c>
      <c r="V165" s="21">
        <f>$J165*VLOOKUP($N165,Assumptions!$A$21:$C$24,3)</f>
        <v/>
      </c>
      <c r="W165" s="21">
        <f>$J165*VLOOKUP($O165,Assumptions!$A$21:$C$24,3)</f>
        <v/>
      </c>
    </row>
    <row r="166">
      <c r="A166" s="8" t="inlineStr">
        <is>
          <t>Countryside Dr</t>
        </is>
      </c>
      <c r="B166" s="8" t="n"/>
      <c r="C166" s="8" t="inlineStr">
        <is>
          <t>Cottonwood Park Condominiums</t>
        </is>
      </c>
      <c r="D166" s="8" t="inlineStr">
        <is>
          <t>Private HOA</t>
        </is>
      </c>
      <c r="E166" s="8" t="n"/>
      <c r="F166" s="20" t="n">
        <v>0.31</v>
      </c>
      <c r="G166" s="8" t="n">
        <v>30</v>
      </c>
      <c r="H166" s="21" t="n">
        <v>49104</v>
      </c>
      <c r="I166" s="21" t="n"/>
      <c r="J166" s="21">
        <f>H166+IF(I166="",0,I166)</f>
        <v/>
      </c>
      <c r="K166" s="23" t="n">
        <v>50</v>
      </c>
      <c r="L166" s="24" t="inlineStr">
        <is>
          <t>Estimated</t>
        </is>
      </c>
      <c r="M166" s="22">
        <f>MAX(0,$K166-Assumptions!$B$12*5)</f>
        <v/>
      </c>
      <c r="N166" s="22">
        <f>MAX(0,$K166-Assumptions!$B$12*10)</f>
        <v/>
      </c>
      <c r="O166" s="22">
        <f>MAX(0,$K166-Assumptions!$B$12*16)</f>
        <v/>
      </c>
      <c r="P166" s="8">
        <f>VLOOKUP($K166,Assumptions!$A$21:$B$24,2)</f>
        <v/>
      </c>
      <c r="Q166" s="8">
        <f>VLOOKUP($M166,Assumptions!$A$21:$B$24,2)</f>
        <v/>
      </c>
      <c r="R166" s="8">
        <f>VLOOKUP($N166,Assumptions!$A$21:$B$24,2)</f>
        <v/>
      </c>
      <c r="S166" s="8">
        <f>VLOOKUP($O166,Assumptions!$A$21:$B$24,2)</f>
        <v/>
      </c>
      <c r="T166" s="21">
        <f>$J166*VLOOKUP($K166,Assumptions!$A$21:$C$24,3)</f>
        <v/>
      </c>
      <c r="U166" s="21">
        <f>$J166*VLOOKUP($M166,Assumptions!$A$21:$C$24,3)</f>
        <v/>
      </c>
      <c r="V166" s="21">
        <f>$J166*VLOOKUP($N166,Assumptions!$A$21:$C$24,3)</f>
        <v/>
      </c>
      <c r="W166" s="21">
        <f>$J166*VLOOKUP($O166,Assumptions!$A$21:$C$24,3)</f>
        <v/>
      </c>
    </row>
    <row r="167">
      <c r="A167" s="8" t="inlineStr">
        <is>
          <t>Countryside Park</t>
        </is>
      </c>
      <c r="B167" s="8" t="n"/>
      <c r="C167" s="8" t="inlineStr">
        <is>
          <t>Countryside Condominiums</t>
        </is>
      </c>
      <c r="D167" s="8" t="inlineStr">
        <is>
          <t>Private HOA</t>
        </is>
      </c>
      <c r="E167" s="8" t="n"/>
      <c r="F167" s="20" t="n">
        <v>0.11</v>
      </c>
      <c r="G167" s="8" t="n">
        <v>24</v>
      </c>
      <c r="H167" s="21" t="n">
        <v>13939.2</v>
      </c>
      <c r="I167" s="21" t="n"/>
      <c r="J167" s="21">
        <f>H167+IF(I167="",0,I167)</f>
        <v/>
      </c>
      <c r="K167" s="23" t="n">
        <v>50</v>
      </c>
      <c r="L167" s="24" t="inlineStr">
        <is>
          <t>Estimated</t>
        </is>
      </c>
      <c r="M167" s="22">
        <f>MAX(0,$K167-Assumptions!$B$12*5)</f>
        <v/>
      </c>
      <c r="N167" s="22">
        <f>MAX(0,$K167-Assumptions!$B$12*10)</f>
        <v/>
      </c>
      <c r="O167" s="22">
        <f>MAX(0,$K167-Assumptions!$B$12*16)</f>
        <v/>
      </c>
      <c r="P167" s="8">
        <f>VLOOKUP($K167,Assumptions!$A$21:$B$24,2)</f>
        <v/>
      </c>
      <c r="Q167" s="8">
        <f>VLOOKUP($M167,Assumptions!$A$21:$B$24,2)</f>
        <v/>
      </c>
      <c r="R167" s="8">
        <f>VLOOKUP($N167,Assumptions!$A$21:$B$24,2)</f>
        <v/>
      </c>
      <c r="S167" s="8">
        <f>VLOOKUP($O167,Assumptions!$A$21:$B$24,2)</f>
        <v/>
      </c>
      <c r="T167" s="21">
        <f>$J167*VLOOKUP($K167,Assumptions!$A$21:$C$24,3)</f>
        <v/>
      </c>
      <c r="U167" s="21">
        <f>$J167*VLOOKUP($M167,Assumptions!$A$21:$C$24,3)</f>
        <v/>
      </c>
      <c r="V167" s="21">
        <f>$J167*VLOOKUP($N167,Assumptions!$A$21:$C$24,3)</f>
        <v/>
      </c>
      <c r="W167" s="21">
        <f>$J167*VLOOKUP($O167,Assumptions!$A$21:$C$24,3)</f>
        <v/>
      </c>
    </row>
    <row r="168">
      <c r="A168" s="8" t="inlineStr">
        <is>
          <t>Countryside Lane</t>
        </is>
      </c>
      <c r="B168" s="8" t="n"/>
      <c r="C168" s="8" t="inlineStr">
        <is>
          <t>Countryside Condominiums</t>
        </is>
      </c>
      <c r="D168" s="8" t="inlineStr">
        <is>
          <t>Private HOA</t>
        </is>
      </c>
      <c r="E168" s="8" t="n"/>
      <c r="F168" s="20" t="n">
        <v>0.07000000000000001</v>
      </c>
      <c r="G168" s="8" t="n">
        <v>24</v>
      </c>
      <c r="H168" s="21" t="n">
        <v>8870.400000000001</v>
      </c>
      <c r="I168" s="21" t="n"/>
      <c r="J168" s="21">
        <f>H168+IF(I168="",0,I168)</f>
        <v/>
      </c>
      <c r="K168" s="23" t="n">
        <v>50</v>
      </c>
      <c r="L168" s="24" t="inlineStr">
        <is>
          <t>Estimated</t>
        </is>
      </c>
      <c r="M168" s="22">
        <f>MAX(0,$K168-Assumptions!$B$12*5)</f>
        <v/>
      </c>
      <c r="N168" s="22">
        <f>MAX(0,$K168-Assumptions!$B$12*10)</f>
        <v/>
      </c>
      <c r="O168" s="22">
        <f>MAX(0,$K168-Assumptions!$B$12*16)</f>
        <v/>
      </c>
      <c r="P168" s="8">
        <f>VLOOKUP($K168,Assumptions!$A$21:$B$24,2)</f>
        <v/>
      </c>
      <c r="Q168" s="8">
        <f>VLOOKUP($M168,Assumptions!$A$21:$B$24,2)</f>
        <v/>
      </c>
      <c r="R168" s="8">
        <f>VLOOKUP($N168,Assumptions!$A$21:$B$24,2)</f>
        <v/>
      </c>
      <c r="S168" s="8">
        <f>VLOOKUP($O168,Assumptions!$A$21:$B$24,2)</f>
        <v/>
      </c>
      <c r="T168" s="21">
        <f>$J168*VLOOKUP($K168,Assumptions!$A$21:$C$24,3)</f>
        <v/>
      </c>
      <c r="U168" s="21">
        <f>$J168*VLOOKUP($M168,Assumptions!$A$21:$C$24,3)</f>
        <v/>
      </c>
      <c r="V168" s="21">
        <f>$J168*VLOOKUP($N168,Assumptions!$A$21:$C$24,3)</f>
        <v/>
      </c>
      <c r="W168" s="21">
        <f>$J168*VLOOKUP($O168,Assumptions!$A$21:$C$24,3)</f>
        <v/>
      </c>
    </row>
    <row r="169">
      <c r="A169" s="8" t="inlineStr">
        <is>
          <t>Totara Pl</t>
        </is>
      </c>
      <c r="B169" s="8" t="n"/>
      <c r="C169" s="8" t="inlineStr">
        <is>
          <t>Cottonwood Park West**</t>
        </is>
      </c>
      <c r="D169" s="8" t="inlineStr">
        <is>
          <t>Private HOA</t>
        </is>
      </c>
      <c r="E169" s="8" t="n"/>
      <c r="F169" s="20" t="n">
        <v>0.17</v>
      </c>
      <c r="G169" s="8" t="n">
        <v>28</v>
      </c>
      <c r="H169" s="21" t="n">
        <v>25132.8</v>
      </c>
      <c r="I169" s="21" t="n"/>
      <c r="J169" s="21">
        <f>H169+IF(I169="",0,I169)</f>
        <v/>
      </c>
      <c r="K169" s="23" t="n">
        <v>80</v>
      </c>
      <c r="L169" s="24" t="inlineStr">
        <is>
          <t>Estimated</t>
        </is>
      </c>
      <c r="M169" s="22">
        <f>MAX(0,$K169-Assumptions!$B$12*5)</f>
        <v/>
      </c>
      <c r="N169" s="22">
        <f>MAX(0,$K169-Assumptions!$B$12*10)</f>
        <v/>
      </c>
      <c r="O169" s="22">
        <f>MAX(0,$K169-Assumptions!$B$12*16)</f>
        <v/>
      </c>
      <c r="P169" s="8">
        <f>VLOOKUP($K169,Assumptions!$A$21:$B$24,2)</f>
        <v/>
      </c>
      <c r="Q169" s="8">
        <f>VLOOKUP($M169,Assumptions!$A$21:$B$24,2)</f>
        <v/>
      </c>
      <c r="R169" s="8">
        <f>VLOOKUP($N169,Assumptions!$A$21:$B$24,2)</f>
        <v/>
      </c>
      <c r="S169" s="8">
        <f>VLOOKUP($O169,Assumptions!$A$21:$B$24,2)</f>
        <v/>
      </c>
      <c r="T169" s="21">
        <f>$J169*VLOOKUP($K169,Assumptions!$A$21:$C$24,3)</f>
        <v/>
      </c>
      <c r="U169" s="21">
        <f>$J169*VLOOKUP($M169,Assumptions!$A$21:$C$24,3)</f>
        <v/>
      </c>
      <c r="V169" s="21">
        <f>$J169*VLOOKUP($N169,Assumptions!$A$21:$C$24,3)</f>
        <v/>
      </c>
      <c r="W169" s="21">
        <f>$J169*VLOOKUP($O169,Assumptions!$A$21:$C$24,3)</f>
        <v/>
      </c>
    </row>
    <row r="170">
      <c r="A170" s="8" t="inlineStr">
        <is>
          <t>Miro Ct</t>
        </is>
      </c>
      <c r="B170" s="8" t="n"/>
      <c r="C170" s="8" t="inlineStr">
        <is>
          <t>Cottonwood Park West**</t>
        </is>
      </c>
      <c r="D170" s="8" t="inlineStr">
        <is>
          <t>Private HOA</t>
        </is>
      </c>
      <c r="E170" s="8" t="n"/>
      <c r="F170" s="20" t="n">
        <v>0.06</v>
      </c>
      <c r="G170" s="8" t="n">
        <v>32</v>
      </c>
      <c r="H170" s="21" t="n">
        <v>10137.6</v>
      </c>
      <c r="I170" s="21" t="n"/>
      <c r="J170" s="21">
        <f>H170+IF(I170="",0,I170)</f>
        <v/>
      </c>
      <c r="K170" s="23" t="n">
        <v>80</v>
      </c>
      <c r="L170" s="24" t="inlineStr">
        <is>
          <t>Estimated</t>
        </is>
      </c>
      <c r="M170" s="22">
        <f>MAX(0,$K170-Assumptions!$B$12*5)</f>
        <v/>
      </c>
      <c r="N170" s="22">
        <f>MAX(0,$K170-Assumptions!$B$12*10)</f>
        <v/>
      </c>
      <c r="O170" s="22">
        <f>MAX(0,$K170-Assumptions!$B$12*16)</f>
        <v/>
      </c>
      <c r="P170" s="8">
        <f>VLOOKUP($K170,Assumptions!$A$21:$B$24,2)</f>
        <v/>
      </c>
      <c r="Q170" s="8">
        <f>VLOOKUP($M170,Assumptions!$A$21:$B$24,2)</f>
        <v/>
      </c>
      <c r="R170" s="8">
        <f>VLOOKUP($N170,Assumptions!$A$21:$B$24,2)</f>
        <v/>
      </c>
      <c r="S170" s="8">
        <f>VLOOKUP($O170,Assumptions!$A$21:$B$24,2)</f>
        <v/>
      </c>
      <c r="T170" s="21">
        <f>$J170*VLOOKUP($K170,Assumptions!$A$21:$C$24,3)</f>
        <v/>
      </c>
      <c r="U170" s="21">
        <f>$J170*VLOOKUP($M170,Assumptions!$A$21:$C$24,3)</f>
        <v/>
      </c>
      <c r="V170" s="21">
        <f>$J170*VLOOKUP($N170,Assumptions!$A$21:$C$24,3)</f>
        <v/>
      </c>
      <c r="W170" s="21">
        <f>$J170*VLOOKUP($O170,Assumptions!$A$21:$C$24,3)</f>
        <v/>
      </c>
    </row>
    <row r="171">
      <c r="A171" s="8" t="inlineStr">
        <is>
          <t>Foxhaven Ct</t>
        </is>
      </c>
      <c r="B171" s="8" t="n"/>
      <c r="C171" s="8" t="inlineStr">
        <is>
          <t>Foxhaven</t>
        </is>
      </c>
      <c r="D171" s="8" t="inlineStr">
        <is>
          <t>Private HOA</t>
        </is>
      </c>
      <c r="E171" s="8" t="n"/>
      <c r="F171" s="20" t="n">
        <v>0.04</v>
      </c>
      <c r="G171" s="8" t="n">
        <v>20</v>
      </c>
      <c r="H171" s="21" t="n">
        <v>4224</v>
      </c>
      <c r="I171" s="21" t="n">
        <v>2500</v>
      </c>
      <c r="J171" s="21">
        <f>H171+IF(I171="",0,I171)</f>
        <v/>
      </c>
      <c r="K171" s="23" t="n">
        <v>50</v>
      </c>
      <c r="L171" s="24" t="inlineStr">
        <is>
          <t>Estimated</t>
        </is>
      </c>
      <c r="M171" s="22">
        <f>MAX(0,$K171-Assumptions!$B$12*5)</f>
        <v/>
      </c>
      <c r="N171" s="22">
        <f>MAX(0,$K171-Assumptions!$B$12*10)</f>
        <v/>
      </c>
      <c r="O171" s="22">
        <f>MAX(0,$K171-Assumptions!$B$12*16)</f>
        <v/>
      </c>
      <c r="P171" s="8">
        <f>VLOOKUP($K171,Assumptions!$A$21:$B$24,2)</f>
        <v/>
      </c>
      <c r="Q171" s="8">
        <f>VLOOKUP($M171,Assumptions!$A$21:$B$24,2)</f>
        <v/>
      </c>
      <c r="R171" s="8">
        <f>VLOOKUP($N171,Assumptions!$A$21:$B$24,2)</f>
        <v/>
      </c>
      <c r="S171" s="8">
        <f>VLOOKUP($O171,Assumptions!$A$21:$B$24,2)</f>
        <v/>
      </c>
      <c r="T171" s="21">
        <f>$J171*VLOOKUP($K171,Assumptions!$A$21:$C$24,3)</f>
        <v/>
      </c>
      <c r="U171" s="21">
        <f>$J171*VLOOKUP($M171,Assumptions!$A$21:$C$24,3)</f>
        <v/>
      </c>
      <c r="V171" s="21">
        <f>$J171*VLOOKUP($N171,Assumptions!$A$21:$C$24,3)</f>
        <v/>
      </c>
      <c r="W171" s="21">
        <f>$J171*VLOOKUP($O171,Assumptions!$A$21:$C$24,3)</f>
        <v/>
      </c>
    </row>
    <row r="172">
      <c r="A172" s="8" t="inlineStr">
        <is>
          <t>Goldbranch</t>
        </is>
      </c>
      <c r="B172" s="8" t="n"/>
      <c r="C172" s="8" t="inlineStr">
        <is>
          <t>Goldbranch**</t>
        </is>
      </c>
      <c r="D172" s="8" t="inlineStr">
        <is>
          <t>Private HOA</t>
        </is>
      </c>
      <c r="E172" s="8" t="n"/>
      <c r="F172" s="20" t="n">
        <v>0.4</v>
      </c>
      <c r="G172" s="8" t="n">
        <v>20</v>
      </c>
      <c r="H172" s="21" t="n">
        <v>42240</v>
      </c>
      <c r="I172" s="21" t="n"/>
      <c r="J172" s="21">
        <f>H172+IF(I172="",0,I172)</f>
        <v/>
      </c>
      <c r="K172" s="23" t="n">
        <v>80</v>
      </c>
      <c r="L172" s="24" t="inlineStr">
        <is>
          <t>Estimated</t>
        </is>
      </c>
      <c r="M172" s="22">
        <f>MAX(0,$K172-Assumptions!$B$12*5)</f>
        <v/>
      </c>
      <c r="N172" s="22">
        <f>MAX(0,$K172-Assumptions!$B$12*10)</f>
        <v/>
      </c>
      <c r="O172" s="22">
        <f>MAX(0,$K172-Assumptions!$B$12*16)</f>
        <v/>
      </c>
      <c r="P172" s="8">
        <f>VLOOKUP($K172,Assumptions!$A$21:$B$24,2)</f>
        <v/>
      </c>
      <c r="Q172" s="8">
        <f>VLOOKUP($M172,Assumptions!$A$21:$B$24,2)</f>
        <v/>
      </c>
      <c r="R172" s="8">
        <f>VLOOKUP($N172,Assumptions!$A$21:$B$24,2)</f>
        <v/>
      </c>
      <c r="S172" s="8">
        <f>VLOOKUP($O172,Assumptions!$A$21:$B$24,2)</f>
        <v/>
      </c>
      <c r="T172" s="21">
        <f>$J172*VLOOKUP($K172,Assumptions!$A$21:$C$24,3)</f>
        <v/>
      </c>
      <c r="U172" s="21">
        <f>$J172*VLOOKUP($M172,Assumptions!$A$21:$C$24,3)</f>
        <v/>
      </c>
      <c r="V172" s="21">
        <f>$J172*VLOOKUP($N172,Assumptions!$A$21:$C$24,3)</f>
        <v/>
      </c>
      <c r="W172" s="21">
        <f>$J172*VLOOKUP($O172,Assumptions!$A$21:$C$24,3)</f>
        <v/>
      </c>
    </row>
    <row r="173">
      <c r="A173" s="8" t="inlineStr">
        <is>
          <t>James Ct</t>
        </is>
      </c>
      <c r="B173" s="8" t="n"/>
      <c r="C173" s="8" t="inlineStr">
        <is>
          <t>Meadowdale</t>
        </is>
      </c>
      <c r="D173" s="8" t="inlineStr">
        <is>
          <t>Private HOA</t>
        </is>
      </c>
      <c r="E173" s="8" t="n"/>
      <c r="F173" s="20" t="n">
        <v>0.14</v>
      </c>
      <c r="G173" s="8" t="n">
        <v>24</v>
      </c>
      <c r="H173" s="21" t="n">
        <v>17740.8</v>
      </c>
      <c r="I173" s="21" t="n"/>
      <c r="J173" s="21">
        <f>H173+IF(I173="",0,I173)</f>
        <v/>
      </c>
      <c r="K173" s="23" t="n">
        <v>80</v>
      </c>
      <c r="L173" s="24" t="inlineStr">
        <is>
          <t>Estimated</t>
        </is>
      </c>
      <c r="M173" s="22">
        <f>MAX(0,$K173-Assumptions!$B$12*5)</f>
        <v/>
      </c>
      <c r="N173" s="22">
        <f>MAX(0,$K173-Assumptions!$B$12*10)</f>
        <v/>
      </c>
      <c r="O173" s="22">
        <f>MAX(0,$K173-Assumptions!$B$12*16)</f>
        <v/>
      </c>
      <c r="P173" s="8">
        <f>VLOOKUP($K173,Assumptions!$A$21:$B$24,2)</f>
        <v/>
      </c>
      <c r="Q173" s="8">
        <f>VLOOKUP($M173,Assumptions!$A$21:$B$24,2)</f>
        <v/>
      </c>
      <c r="R173" s="8">
        <f>VLOOKUP($N173,Assumptions!$A$21:$B$24,2)</f>
        <v/>
      </c>
      <c r="S173" s="8">
        <f>VLOOKUP($O173,Assumptions!$A$21:$B$24,2)</f>
        <v/>
      </c>
      <c r="T173" s="21">
        <f>$J173*VLOOKUP($K173,Assumptions!$A$21:$C$24,3)</f>
        <v/>
      </c>
      <c r="U173" s="21">
        <f>$J173*VLOOKUP($M173,Assumptions!$A$21:$C$24,3)</f>
        <v/>
      </c>
      <c r="V173" s="21">
        <f>$J173*VLOOKUP($N173,Assumptions!$A$21:$C$24,3)</f>
        <v/>
      </c>
      <c r="W173" s="21">
        <f>$J173*VLOOKUP($O173,Assumptions!$A$21:$C$24,3)</f>
        <v/>
      </c>
    </row>
    <row r="174">
      <c r="A174" s="8" t="inlineStr">
        <is>
          <t>Dry Creek Cir**</t>
        </is>
      </c>
      <c r="B174" s="8" t="n"/>
      <c r="C174" s="8" t="inlineStr">
        <is>
          <t>East Meadowdale</t>
        </is>
      </c>
      <c r="D174" s="8" t="inlineStr">
        <is>
          <t>Private HOA</t>
        </is>
      </c>
      <c r="E174" s="8" t="n"/>
      <c r="F174" s="20" t="n">
        <v>0.063</v>
      </c>
      <c r="G174" s="8" t="n">
        <v>31.7</v>
      </c>
      <c r="H174" s="21" t="n">
        <v>10544.688</v>
      </c>
      <c r="I174" s="21" t="n"/>
      <c r="J174" s="21">
        <f>H174+IF(I174="",0,I174)</f>
        <v/>
      </c>
      <c r="K174" s="23" t="n">
        <v>50</v>
      </c>
      <c r="L174" s="24" t="inlineStr">
        <is>
          <t>Estimated</t>
        </is>
      </c>
      <c r="M174" s="22">
        <f>MAX(0,$K174-Assumptions!$B$12*5)</f>
        <v/>
      </c>
      <c r="N174" s="22">
        <f>MAX(0,$K174-Assumptions!$B$12*10)</f>
        <v/>
      </c>
      <c r="O174" s="22">
        <f>MAX(0,$K174-Assumptions!$B$12*16)</f>
        <v/>
      </c>
      <c r="P174" s="8">
        <f>VLOOKUP($K174,Assumptions!$A$21:$B$24,2)</f>
        <v/>
      </c>
      <c r="Q174" s="8">
        <f>VLOOKUP($M174,Assumptions!$A$21:$B$24,2)</f>
        <v/>
      </c>
      <c r="R174" s="8">
        <f>VLOOKUP($N174,Assumptions!$A$21:$B$24,2)</f>
        <v/>
      </c>
      <c r="S174" s="8">
        <f>VLOOKUP($O174,Assumptions!$A$21:$B$24,2)</f>
        <v/>
      </c>
      <c r="T174" s="21">
        <f>$J174*VLOOKUP($K174,Assumptions!$A$21:$C$24,3)</f>
        <v/>
      </c>
      <c r="U174" s="21">
        <f>$J174*VLOOKUP($M174,Assumptions!$A$21:$C$24,3)</f>
        <v/>
      </c>
      <c r="V174" s="21">
        <f>$J174*VLOOKUP($N174,Assumptions!$A$21:$C$24,3)</f>
        <v/>
      </c>
      <c r="W174" s="21">
        <f>$J174*VLOOKUP($O174,Assumptions!$A$21:$C$24,3)</f>
        <v/>
      </c>
    </row>
    <row r="175">
      <c r="A175" s="8" t="inlineStr">
        <is>
          <t>Dry Creek Cir**</t>
        </is>
      </c>
      <c r="B175" s="8" t="n"/>
      <c r="C175" s="8" t="inlineStr">
        <is>
          <t>East Meadowdale</t>
        </is>
      </c>
      <c r="D175" s="8" t="inlineStr">
        <is>
          <t>Private HOA</t>
        </is>
      </c>
      <c r="E175" s="8" t="n"/>
      <c r="F175" s="20" t="n">
        <v>0.16</v>
      </c>
      <c r="G175" s="8" t="n">
        <v>22.64</v>
      </c>
      <c r="H175" s="21" t="n">
        <v>19126.272</v>
      </c>
      <c r="I175" s="21" t="n"/>
      <c r="J175" s="21">
        <f>H175+IF(I175="",0,I175)</f>
        <v/>
      </c>
      <c r="K175" s="23" t="n">
        <v>50</v>
      </c>
      <c r="L175" s="24" t="inlineStr">
        <is>
          <t>Estimated</t>
        </is>
      </c>
      <c r="M175" s="22">
        <f>MAX(0,$K175-Assumptions!$B$12*5)</f>
        <v/>
      </c>
      <c r="N175" s="22">
        <f>MAX(0,$K175-Assumptions!$B$12*10)</f>
        <v/>
      </c>
      <c r="O175" s="22">
        <f>MAX(0,$K175-Assumptions!$B$12*16)</f>
        <v/>
      </c>
      <c r="P175" s="8">
        <f>VLOOKUP($K175,Assumptions!$A$21:$B$24,2)</f>
        <v/>
      </c>
      <c r="Q175" s="8">
        <f>VLOOKUP($M175,Assumptions!$A$21:$B$24,2)</f>
        <v/>
      </c>
      <c r="R175" s="8">
        <f>VLOOKUP($N175,Assumptions!$A$21:$B$24,2)</f>
        <v/>
      </c>
      <c r="S175" s="8">
        <f>VLOOKUP($O175,Assumptions!$A$21:$B$24,2)</f>
        <v/>
      </c>
      <c r="T175" s="21">
        <f>$J175*VLOOKUP($K175,Assumptions!$A$21:$C$24,3)</f>
        <v/>
      </c>
      <c r="U175" s="21">
        <f>$J175*VLOOKUP($M175,Assumptions!$A$21:$C$24,3)</f>
        <v/>
      </c>
      <c r="V175" s="21">
        <f>$J175*VLOOKUP($N175,Assumptions!$A$21:$C$24,3)</f>
        <v/>
      </c>
      <c r="W175" s="21">
        <f>$J175*VLOOKUP($O175,Assumptions!$A$21:$C$24,3)</f>
        <v/>
      </c>
    </row>
    <row r="176">
      <c r="A176" s="8" t="inlineStr">
        <is>
          <t>Dry Creek Ct**</t>
        </is>
      </c>
      <c r="B176" s="8" t="n"/>
      <c r="C176" s="8" t="inlineStr">
        <is>
          <t>Meadowdale</t>
        </is>
      </c>
      <c r="D176" s="8" t="inlineStr">
        <is>
          <t>Private HOA</t>
        </is>
      </c>
      <c r="E176" s="8" t="n"/>
      <c r="F176" s="20" t="n">
        <v>0.24</v>
      </c>
      <c r="G176" s="8" t="n">
        <v>18</v>
      </c>
      <c r="H176" s="21" t="n">
        <v>22809.6</v>
      </c>
      <c r="I176" s="21" t="n"/>
      <c r="J176" s="21">
        <f>H176+IF(I176="",0,I176)</f>
        <v/>
      </c>
      <c r="K176" s="23" t="n">
        <v>80</v>
      </c>
      <c r="L176" s="24" t="inlineStr">
        <is>
          <t>Estimated</t>
        </is>
      </c>
      <c r="M176" s="22">
        <f>MAX(0,$K176-Assumptions!$B$12*5)</f>
        <v/>
      </c>
      <c r="N176" s="22">
        <f>MAX(0,$K176-Assumptions!$B$12*10)</f>
        <v/>
      </c>
      <c r="O176" s="22">
        <f>MAX(0,$K176-Assumptions!$B$12*16)</f>
        <v/>
      </c>
      <c r="P176" s="8">
        <f>VLOOKUP($K176,Assumptions!$A$21:$B$24,2)</f>
        <v/>
      </c>
      <c r="Q176" s="8">
        <f>VLOOKUP($M176,Assumptions!$A$21:$B$24,2)</f>
        <v/>
      </c>
      <c r="R176" s="8">
        <f>VLOOKUP($N176,Assumptions!$A$21:$B$24,2)</f>
        <v/>
      </c>
      <c r="S176" s="8">
        <f>VLOOKUP($O176,Assumptions!$A$21:$B$24,2)</f>
        <v/>
      </c>
      <c r="T176" s="21">
        <f>$J176*VLOOKUP($K176,Assumptions!$A$21:$C$24,3)</f>
        <v/>
      </c>
      <c r="U176" s="21">
        <f>$J176*VLOOKUP($M176,Assumptions!$A$21:$C$24,3)</f>
        <v/>
      </c>
      <c r="V176" s="21">
        <f>$J176*VLOOKUP($N176,Assumptions!$A$21:$C$24,3)</f>
        <v/>
      </c>
      <c r="W176" s="21">
        <f>$J176*VLOOKUP($O176,Assumptions!$A$21:$C$24,3)</f>
        <v/>
      </c>
    </row>
    <row r="177">
      <c r="A177" s="8" t="inlineStr">
        <is>
          <t>Quiet Retreat</t>
        </is>
      </c>
      <c r="B177" s="8" t="n"/>
      <c r="C177" s="8" t="inlineStr">
        <is>
          <t>Quiet Retreat**</t>
        </is>
      </c>
      <c r="D177" s="8" t="inlineStr">
        <is>
          <t>Private HOA</t>
        </is>
      </c>
      <c r="E177" s="8" t="n"/>
      <c r="F177" s="20" t="n">
        <v>0.26</v>
      </c>
      <c r="G177" s="8" t="n">
        <v>24</v>
      </c>
      <c r="H177" s="21" t="n">
        <v>32947.2</v>
      </c>
      <c r="I177" s="21" t="n">
        <v>2500</v>
      </c>
      <c r="J177" s="21">
        <f>H177+IF(I177="",0,I177)</f>
        <v/>
      </c>
      <c r="K177" s="23" t="n">
        <v>60</v>
      </c>
      <c r="L177" s="24" t="inlineStr">
        <is>
          <t>Estimated</t>
        </is>
      </c>
      <c r="M177" s="22">
        <f>MAX(0,$K177-Assumptions!$B$12*5)</f>
        <v/>
      </c>
      <c r="N177" s="22">
        <f>MAX(0,$K177-Assumptions!$B$12*10)</f>
        <v/>
      </c>
      <c r="O177" s="22">
        <f>MAX(0,$K177-Assumptions!$B$12*16)</f>
        <v/>
      </c>
      <c r="P177" s="8">
        <f>VLOOKUP($K177,Assumptions!$A$21:$B$24,2)</f>
        <v/>
      </c>
      <c r="Q177" s="8">
        <f>VLOOKUP($M177,Assumptions!$A$21:$B$24,2)</f>
        <v/>
      </c>
      <c r="R177" s="8">
        <f>VLOOKUP($N177,Assumptions!$A$21:$B$24,2)</f>
        <v/>
      </c>
      <c r="S177" s="8">
        <f>VLOOKUP($O177,Assumptions!$A$21:$B$24,2)</f>
        <v/>
      </c>
      <c r="T177" s="21">
        <f>$J177*VLOOKUP($K177,Assumptions!$A$21:$C$24,3)</f>
        <v/>
      </c>
      <c r="U177" s="21">
        <f>$J177*VLOOKUP($M177,Assumptions!$A$21:$C$24,3)</f>
        <v/>
      </c>
      <c r="V177" s="21">
        <f>$J177*VLOOKUP($N177,Assumptions!$A$21:$C$24,3)</f>
        <v/>
      </c>
      <c r="W177" s="21">
        <f>$J177*VLOOKUP($O177,Assumptions!$A$21:$C$24,3)</f>
        <v/>
      </c>
    </row>
    <row r="178">
      <c r="A178" s="8" t="inlineStr">
        <is>
          <t>The Cove (end of Skyland Dr)</t>
        </is>
      </c>
      <c r="B178" s="8" t="n"/>
      <c r="C178" s="8" t="inlineStr">
        <is>
          <t>The Cove**</t>
        </is>
      </c>
      <c r="D178" s="8" t="inlineStr">
        <is>
          <t>Private HOA</t>
        </is>
      </c>
      <c r="E178" s="8" t="n"/>
      <c r="F178" s="20" t="n">
        <v>0.16</v>
      </c>
      <c r="G178" s="8" t="n">
        <v>24</v>
      </c>
      <c r="H178" s="21" t="n">
        <v>20275.2</v>
      </c>
      <c r="I178" s="21" t="n">
        <v>2500</v>
      </c>
      <c r="J178" s="21">
        <f>H178+IF(I178="",0,I178)</f>
        <v/>
      </c>
      <c r="K178" s="23" t="n">
        <v>80</v>
      </c>
      <c r="L178" s="24" t="inlineStr">
        <is>
          <t>Estimated</t>
        </is>
      </c>
      <c r="M178" s="22">
        <f>MAX(0,$K178-Assumptions!$B$12*5)</f>
        <v/>
      </c>
      <c r="N178" s="22">
        <f>MAX(0,$K178-Assumptions!$B$12*10)</f>
        <v/>
      </c>
      <c r="O178" s="22">
        <f>MAX(0,$K178-Assumptions!$B$12*16)</f>
        <v/>
      </c>
      <c r="P178" s="8">
        <f>VLOOKUP($K178,Assumptions!$A$21:$B$24,2)</f>
        <v/>
      </c>
      <c r="Q178" s="8">
        <f>VLOOKUP($M178,Assumptions!$A$21:$B$24,2)</f>
        <v/>
      </c>
      <c r="R178" s="8">
        <f>VLOOKUP($N178,Assumptions!$A$21:$B$24,2)</f>
        <v/>
      </c>
      <c r="S178" s="8">
        <f>VLOOKUP($O178,Assumptions!$A$21:$B$24,2)</f>
        <v/>
      </c>
      <c r="T178" s="21">
        <f>$J178*VLOOKUP($K178,Assumptions!$A$21:$C$24,3)</f>
        <v/>
      </c>
      <c r="U178" s="21">
        <f>$J178*VLOOKUP($M178,Assumptions!$A$21:$C$24,3)</f>
        <v/>
      </c>
      <c r="V178" s="21">
        <f>$J178*VLOOKUP($N178,Assumptions!$A$21:$C$24,3)</f>
        <v/>
      </c>
      <c r="W178" s="21">
        <f>$J178*VLOOKUP($O178,Assumptions!$A$21:$C$24,3)</f>
        <v/>
      </c>
    </row>
    <row r="179">
      <c r="A179" s="8" t="inlineStr">
        <is>
          <t>Comanche Road (Western 'L' Portion)</t>
        </is>
      </c>
      <c r="B179" s="8" t="n"/>
      <c r="C179" s="8" t="inlineStr">
        <is>
          <t>The Cove**</t>
        </is>
      </c>
      <c r="D179" s="8" t="inlineStr">
        <is>
          <t>Private HOA</t>
        </is>
      </c>
      <c r="E179" s="8" t="n"/>
      <c r="F179" s="20" t="n">
        <v>0.08</v>
      </c>
      <c r="G179" s="8" t="n">
        <v>14</v>
      </c>
      <c r="H179" s="21" t="n">
        <v>5913.6</v>
      </c>
      <c r="I179" s="21" t="n"/>
      <c r="J179" s="21">
        <f>H179+IF(I179="",0,I179)</f>
        <v/>
      </c>
      <c r="K179" s="23" t="n">
        <v>80</v>
      </c>
      <c r="L179" s="24" t="inlineStr">
        <is>
          <t>Estimated</t>
        </is>
      </c>
      <c r="M179" s="22">
        <f>MAX(0,$K179-Assumptions!$B$12*5)</f>
        <v/>
      </c>
      <c r="N179" s="22">
        <f>MAX(0,$K179-Assumptions!$B$12*10)</f>
        <v/>
      </c>
      <c r="O179" s="22">
        <f>MAX(0,$K179-Assumptions!$B$12*16)</f>
        <v/>
      </c>
      <c r="P179" s="8">
        <f>VLOOKUP($K179,Assumptions!$A$21:$B$24,2)</f>
        <v/>
      </c>
      <c r="Q179" s="8">
        <f>VLOOKUP($M179,Assumptions!$A$21:$B$24,2)</f>
        <v/>
      </c>
      <c r="R179" s="8">
        <f>VLOOKUP($N179,Assumptions!$A$21:$B$24,2)</f>
        <v/>
      </c>
      <c r="S179" s="8">
        <f>VLOOKUP($O179,Assumptions!$A$21:$B$24,2)</f>
        <v/>
      </c>
      <c r="T179" s="21">
        <f>$J179*VLOOKUP($K179,Assumptions!$A$21:$C$24,3)</f>
        <v/>
      </c>
      <c r="U179" s="21">
        <f>$J179*VLOOKUP($M179,Assumptions!$A$21:$C$24,3)</f>
        <v/>
      </c>
      <c r="V179" s="21">
        <f>$J179*VLOOKUP($N179,Assumptions!$A$21:$C$24,3)</f>
        <v/>
      </c>
      <c r="W179" s="21">
        <f>$J179*VLOOKUP($O179,Assumptions!$A$21:$C$24,3)</f>
        <v/>
      </c>
    </row>
    <row r="180">
      <c r="A180" s="8" t="inlineStr">
        <is>
          <t>Whirlaway Ln</t>
        </is>
      </c>
      <c r="B180" s="8" t="n"/>
      <c r="C180" s="8" t="inlineStr">
        <is>
          <t>Triple Crown Meadows**</t>
        </is>
      </c>
      <c r="D180" s="8" t="inlineStr">
        <is>
          <t>Private HOA</t>
        </is>
      </c>
      <c r="E180" s="8" t="n"/>
      <c r="F180" s="20" t="n">
        <v>0.1</v>
      </c>
      <c r="G180" s="8" t="n">
        <v>26</v>
      </c>
      <c r="H180" s="21" t="n">
        <v>13728</v>
      </c>
      <c r="I180" s="21" t="n">
        <v>2500</v>
      </c>
      <c r="J180" s="21">
        <f>H180+IF(I180="",0,I180)</f>
        <v/>
      </c>
      <c r="K180" s="23" t="n">
        <v>60</v>
      </c>
      <c r="L180" s="24" t="inlineStr">
        <is>
          <t>Estimated</t>
        </is>
      </c>
      <c r="M180" s="22">
        <f>MAX(0,$K180-Assumptions!$B$12*5)</f>
        <v/>
      </c>
      <c r="N180" s="22">
        <f>MAX(0,$K180-Assumptions!$B$12*10)</f>
        <v/>
      </c>
      <c r="O180" s="22">
        <f>MAX(0,$K180-Assumptions!$B$12*16)</f>
        <v/>
      </c>
      <c r="P180" s="8">
        <f>VLOOKUP($K180,Assumptions!$A$21:$B$24,2)</f>
        <v/>
      </c>
      <c r="Q180" s="8">
        <f>VLOOKUP($M180,Assumptions!$A$21:$B$24,2)</f>
        <v/>
      </c>
      <c r="R180" s="8">
        <f>VLOOKUP($N180,Assumptions!$A$21:$B$24,2)</f>
        <v/>
      </c>
      <c r="S180" s="8">
        <f>VLOOKUP($O180,Assumptions!$A$21:$B$24,2)</f>
        <v/>
      </c>
      <c r="T180" s="21">
        <f>$J180*VLOOKUP($K180,Assumptions!$A$21:$C$24,3)</f>
        <v/>
      </c>
      <c r="U180" s="21">
        <f>$J180*VLOOKUP($M180,Assumptions!$A$21:$C$24,3)</f>
        <v/>
      </c>
      <c r="V180" s="21">
        <f>$J180*VLOOKUP($N180,Assumptions!$A$21:$C$24,3)</f>
        <v/>
      </c>
      <c r="W180" s="21">
        <f>$J180*VLOOKUP($O180,Assumptions!$A$21:$C$24,3)</f>
        <v/>
      </c>
    </row>
    <row r="181">
      <c r="A181" s="8" t="inlineStr">
        <is>
          <t>Citation Ln</t>
        </is>
      </c>
      <c r="B181" s="8" t="n"/>
      <c r="C181" s="8" t="inlineStr">
        <is>
          <t>Triple Crown Meadows**</t>
        </is>
      </c>
      <c r="D181" s="8" t="inlineStr">
        <is>
          <t>Private HOA</t>
        </is>
      </c>
      <c r="E181" s="8" t="n"/>
      <c r="F181" s="20" t="n">
        <v>0.1</v>
      </c>
      <c r="G181" s="8" t="n">
        <v>26</v>
      </c>
      <c r="H181" s="21" t="n">
        <v>13728</v>
      </c>
      <c r="I181" s="21" t="n">
        <v>2500</v>
      </c>
      <c r="J181" s="21">
        <f>H181+IF(I181="",0,I181)</f>
        <v/>
      </c>
      <c r="K181" s="23" t="n">
        <v>60</v>
      </c>
      <c r="L181" s="24" t="inlineStr">
        <is>
          <t>Estimated</t>
        </is>
      </c>
      <c r="M181" s="22">
        <f>MAX(0,$K181-Assumptions!$B$12*5)</f>
        <v/>
      </c>
      <c r="N181" s="22">
        <f>MAX(0,$K181-Assumptions!$B$12*10)</f>
        <v/>
      </c>
      <c r="O181" s="22">
        <f>MAX(0,$K181-Assumptions!$B$12*16)</f>
        <v/>
      </c>
      <c r="P181" s="8">
        <f>VLOOKUP($K181,Assumptions!$A$21:$B$24,2)</f>
        <v/>
      </c>
      <c r="Q181" s="8">
        <f>VLOOKUP($M181,Assumptions!$A$21:$B$24,2)</f>
        <v/>
      </c>
      <c r="R181" s="8">
        <f>VLOOKUP($N181,Assumptions!$A$21:$B$24,2)</f>
        <v/>
      </c>
      <c r="S181" s="8">
        <f>VLOOKUP($O181,Assumptions!$A$21:$B$24,2)</f>
        <v/>
      </c>
      <c r="T181" s="21">
        <f>$J181*VLOOKUP($K181,Assumptions!$A$21:$C$24,3)</f>
        <v/>
      </c>
      <c r="U181" s="21">
        <f>$J181*VLOOKUP($M181,Assumptions!$A$21:$C$24,3)</f>
        <v/>
      </c>
      <c r="V181" s="21">
        <f>$J181*VLOOKUP($N181,Assumptions!$A$21:$C$24,3)</f>
        <v/>
      </c>
      <c r="W181" s="21">
        <f>$J181*VLOOKUP($O181,Assumptions!$A$21:$C$24,3)</f>
        <v/>
      </c>
    </row>
    <row r="182">
      <c r="A182" s="8" t="inlineStr">
        <is>
          <t>Secretariat Dr</t>
        </is>
      </c>
      <c r="B182" s="8" t="n"/>
      <c r="C182" s="8" t="inlineStr">
        <is>
          <t>Triple Crown Meadows**</t>
        </is>
      </c>
      <c r="D182" s="8" t="inlineStr">
        <is>
          <t>Private HOA</t>
        </is>
      </c>
      <c r="E182" s="8" t="n"/>
      <c r="F182" s="20" t="n">
        <v>0.2</v>
      </c>
      <c r="G182" s="8" t="n">
        <v>26</v>
      </c>
      <c r="H182" s="21" t="n">
        <v>27456</v>
      </c>
      <c r="I182" s="21" t="n">
        <v>2500</v>
      </c>
      <c r="J182" s="21">
        <f>H182+IF(I182="",0,I182)</f>
        <v/>
      </c>
      <c r="K182" s="23" t="n">
        <v>60</v>
      </c>
      <c r="L182" s="24" t="inlineStr">
        <is>
          <t>Estimated</t>
        </is>
      </c>
      <c r="M182" s="22">
        <f>MAX(0,$K182-Assumptions!$B$12*5)</f>
        <v/>
      </c>
      <c r="N182" s="22">
        <f>MAX(0,$K182-Assumptions!$B$12*10)</f>
        <v/>
      </c>
      <c r="O182" s="22">
        <f>MAX(0,$K182-Assumptions!$B$12*16)</f>
        <v/>
      </c>
      <c r="P182" s="8">
        <f>VLOOKUP($K182,Assumptions!$A$21:$B$24,2)</f>
        <v/>
      </c>
      <c r="Q182" s="8">
        <f>VLOOKUP($M182,Assumptions!$A$21:$B$24,2)</f>
        <v/>
      </c>
      <c r="R182" s="8">
        <f>VLOOKUP($N182,Assumptions!$A$21:$B$24,2)</f>
        <v/>
      </c>
      <c r="S182" s="8">
        <f>VLOOKUP($O182,Assumptions!$A$21:$B$24,2)</f>
        <v/>
      </c>
      <c r="T182" s="21">
        <f>$J182*VLOOKUP($K182,Assumptions!$A$21:$C$24,3)</f>
        <v/>
      </c>
      <c r="U182" s="21">
        <f>$J182*VLOOKUP($M182,Assumptions!$A$21:$C$24,3)</f>
        <v/>
      </c>
      <c r="V182" s="21">
        <f>$J182*VLOOKUP($N182,Assumptions!$A$21:$C$24,3)</f>
        <v/>
      </c>
      <c r="W182" s="21">
        <f>$J182*VLOOKUP($O182,Assumptions!$A$21:$C$24,3)</f>
        <v/>
      </c>
    </row>
    <row r="183">
      <c r="A183" s="25" t="inlineStr">
        <is>
          <t>Total</t>
        </is>
      </c>
      <c r="B183" s="26" t="n"/>
      <c r="C183" s="26" t="n"/>
      <c r="D183" s="26" t="n"/>
      <c r="E183" s="26" t="n"/>
      <c r="F183" s="27">
        <f>SUM(F4:F182)</f>
        <v/>
      </c>
      <c r="G183" s="26" t="n"/>
      <c r="H183" s="28">
        <f>SUM(H4:H182)</f>
        <v/>
      </c>
      <c r="I183" s="28">
        <f>SUM(I4:I182)</f>
        <v/>
      </c>
      <c r="J183" s="28">
        <f>SUM(J4:J182)</f>
        <v/>
      </c>
      <c r="K183" s="26" t="n"/>
      <c r="L183" s="26" t="n"/>
      <c r="M183" s="26" t="n"/>
      <c r="N183" s="26" t="n"/>
      <c r="O183" s="26" t="n"/>
      <c r="P183" s="26" t="n"/>
      <c r="Q183" s="26" t="n"/>
      <c r="R183" s="26" t="n"/>
      <c r="S183" s="26" t="n"/>
      <c r="T183" s="28">
        <f>SUM(T4:T182)</f>
        <v/>
      </c>
      <c r="U183" s="28">
        <f>SUM(U4:U182)</f>
        <v/>
      </c>
      <c r="V183" s="28">
        <f>SUM(V4:V182)</f>
        <v/>
      </c>
      <c r="W183" s="28">
        <f>SUM(W4:W182)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cols>
    <col width="10" customWidth="1" min="1" max="1"/>
    <col width="20" customWidth="1" min="2" max="2"/>
    <col width="18" customWidth="1" min="3" max="3"/>
    <col width="18" customWidth="1" min="4" max="4"/>
    <col width="18" customWidth="1" min="5" max="5"/>
    <col width="18" customWidth="1" min="6" max="6"/>
    <col width="18" customWidth="1" min="7" max="7"/>
    <col width="20" customWidth="1" min="8" max="8"/>
  </cols>
  <sheetData>
    <row r="1">
      <c r="A1" s="5" t="inlineStr">
        <is>
          <t>Cost Ladder</t>
        </is>
      </c>
    </row>
    <row r="2">
      <c r="A2" s="6" t="inlineStr">
        <is>
          <t>What the same network costs to repair in each year. The base-year column is the honest measure of scope: it holds dollars constant and lets only road condition change.</t>
        </is>
      </c>
    </row>
    <row r="4">
      <c r="A4" s="19" t="inlineStr">
        <is>
          <t>Year</t>
        </is>
      </c>
      <c r="B4" s="19" t="inlineStr">
        <is>
          <t>Treatment total</t>
        </is>
      </c>
      <c r="C4" s="19" t="inlineStr">
        <is>
          <t>+ roads 10%</t>
        </is>
      </c>
      <c r="D4" s="19" t="inlineStr">
        <is>
          <t>+ ancillary 10%</t>
        </is>
      </c>
      <c r="E4" s="19" t="inlineStr">
        <is>
          <t>Total in 2026$</t>
        </is>
      </c>
      <c r="F4" s="19" t="inlineStr">
        <is>
          <t>Escalated to year</t>
        </is>
      </c>
      <c r="G4" s="19" t="inlineStr">
        <is>
          <t>Committee publishes</t>
        </is>
      </c>
      <c r="H4" s="19" t="inlineStr">
        <is>
          <t>Difference</t>
        </is>
      </c>
    </row>
    <row r="5">
      <c r="A5" s="29" t="n">
        <v>2024</v>
      </c>
      <c r="B5" s="30">
        <f>'Road Inventory'!T183</f>
        <v/>
      </c>
      <c r="C5" s="30">
        <f>B5*Assumptions!$B$13</f>
        <v/>
      </c>
      <c r="D5" s="30">
        <f>B5*Assumptions!$B$14</f>
        <v/>
      </c>
      <c r="E5" s="31">
        <f>SUM(B5:D5)</f>
        <v/>
      </c>
      <c r="F5" s="32">
        <f>E5*POWER(1+Assumptions!$B$15,A5-Assumptions!$B$16)</f>
        <v/>
      </c>
      <c r="G5" s="17" t="inlineStr">
        <is>
          <t>—</t>
        </is>
      </c>
      <c r="H5" s="17" t="inlineStr">
        <is>
          <t>—</t>
        </is>
      </c>
    </row>
    <row r="6">
      <c r="A6" s="29" t="n">
        <v>2029</v>
      </c>
      <c r="B6" s="30">
        <f>'Road Inventory'!U183</f>
        <v/>
      </c>
      <c r="C6" s="30">
        <f>B6*Assumptions!$B$13</f>
        <v/>
      </c>
      <c r="D6" s="30">
        <f>B6*Assumptions!$B$14</f>
        <v/>
      </c>
      <c r="E6" s="31">
        <f>SUM(B6:D6)</f>
        <v/>
      </c>
      <c r="F6" s="32">
        <f>E6*POWER(1+Assumptions!$B$15,A6-Assumptions!$B$16)</f>
        <v/>
      </c>
      <c r="G6" s="30" t="n">
        <v>15725514.24</v>
      </c>
      <c r="H6" s="33">
        <f>F6-G6</f>
        <v/>
      </c>
    </row>
    <row r="7">
      <c r="A7" s="29" t="n">
        <v>2034</v>
      </c>
      <c r="B7" s="30">
        <f>'Road Inventory'!V183</f>
        <v/>
      </c>
      <c r="C7" s="30">
        <f>B7*Assumptions!$B$13</f>
        <v/>
      </c>
      <c r="D7" s="30">
        <f>B7*Assumptions!$B$14</f>
        <v/>
      </c>
      <c r="E7" s="31">
        <f>SUM(B7:D7)</f>
        <v/>
      </c>
      <c r="F7" s="32">
        <f>E7*POWER(1+Assumptions!$B$15,A7-Assumptions!$B$16)</f>
        <v/>
      </c>
      <c r="G7" s="30" t="n">
        <v>21524248.31</v>
      </c>
      <c r="H7" s="33">
        <f>F7-G7</f>
        <v/>
      </c>
    </row>
    <row r="8">
      <c r="A8" s="29" t="n">
        <v>2040</v>
      </c>
      <c r="B8" s="30">
        <f>'Road Inventory'!W183</f>
        <v/>
      </c>
      <c r="C8" s="30">
        <f>B8*Assumptions!$B$13</f>
        <v/>
      </c>
      <c r="D8" s="30">
        <f>B8*Assumptions!$B$14</f>
        <v/>
      </c>
      <c r="E8" s="31">
        <f>SUM(B8:D8)</f>
        <v/>
      </c>
      <c r="F8" s="32">
        <f>E8*POWER(1+Assumptions!$B$15,A8-Assumptions!$B$16)</f>
        <v/>
      </c>
      <c r="G8" s="30" t="n">
        <v>33196105.25</v>
      </c>
      <c r="H8" s="33">
        <f>F8-G8</f>
        <v/>
      </c>
    </row>
    <row r="10">
      <c r="A10" s="12" t="inlineStr">
        <is>
          <t>Reading this</t>
        </is>
      </c>
    </row>
    <row r="11">
      <c r="A11" s="6" t="inlineStr">
        <is>
          <t>Column E is the number that matters. Holding dollars constant at 2026, the cost of repairing Niwot's roads still</t>
        </is>
      </c>
    </row>
    <row r="12">
      <c r="A12" s="6" t="inlineStr">
        <is>
          <t>nearly doubles between 2024 and 2040 — from $11.4M to $22.6M. That increase is not inflation. It is pavement</t>
        </is>
      </c>
    </row>
    <row r="13">
      <c r="A13" s="6" t="inlineStr">
        <is>
          <t>moving into more expensive treatment bands as it decays. See Scope Shift.</t>
        </is>
      </c>
    </row>
    <row r="14">
      <c r="A14" s="6" t="inlineStr"/>
    </row>
    <row r="15">
      <c r="A15" s="6" t="inlineStr">
        <is>
          <t>Column H is positive in every year because this workbook corrects four defects in the source model, all of which</t>
        </is>
      </c>
    </row>
    <row r="16">
      <c r="A16" s="6" t="inlineStr">
        <is>
          <t>made the original figure too low. The committee continues to publish the lower figure in column 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10" customWidth="1" min="1" max="1"/>
    <col width="26" customWidth="1" min="2" max="2"/>
    <col width="18" customWidth="1" min="3" max="3"/>
    <col width="18" customWidth="1" min="4" max="4"/>
    <col width="18" customWidth="1" min="5" max="5"/>
    <col width="18" customWidth="1" min="6" max="6"/>
  </cols>
  <sheetData>
    <row r="1">
      <c r="A1" s="5" t="inlineStr">
        <is>
          <t>Scope Shift</t>
        </is>
      </c>
    </row>
    <row r="2">
      <c r="A2" s="6" t="inlineStr">
        <is>
          <t>Share of total pavement area falling in each treatment band, by year. This is the cost of waiting, stated as engineering rather than dollars.</t>
        </is>
      </c>
    </row>
    <row r="4">
      <c r="A4" s="19" t="inlineStr">
        <is>
          <t>Year</t>
        </is>
      </c>
      <c r="B4" s="19" t="inlineStr">
        <is>
          <t>Total in 2026$</t>
        </is>
      </c>
      <c r="C4" s="19" t="inlineStr">
        <is>
          <t>FDR (PCI &lt;25)</t>
        </is>
      </c>
      <c r="D4" s="19" t="inlineStr">
        <is>
          <t>Mill &amp; overlay (25-50)</t>
        </is>
      </c>
      <c r="E4" s="19" t="inlineStr">
        <is>
          <t>Chip/slurry seal (50-70)</t>
        </is>
      </c>
      <c r="F4" s="19" t="inlineStr">
        <is>
          <t>Crack seal (&gt;70)</t>
        </is>
      </c>
    </row>
    <row r="5">
      <c r="A5" s="29" t="n">
        <v>2024</v>
      </c>
      <c r="B5" s="30">
        <f>'Cost Ladder'!E5</f>
        <v/>
      </c>
      <c r="C5" s="34">
        <f>SUMIF('Road Inventory'!$P$4:$P$182,1,'Road Inventory'!$J$4:$J$182)/SUM('Road Inventory'!$J$4:$J$182)</f>
        <v/>
      </c>
      <c r="D5" s="34">
        <f>SUMIF('Road Inventory'!$P$4:$P$182,2,'Road Inventory'!$J$4:$J$182)/SUM('Road Inventory'!$J$4:$J$182)</f>
        <v/>
      </c>
      <c r="E5" s="34">
        <f>SUMIF('Road Inventory'!$P$4:$P$182,3,'Road Inventory'!$J$4:$J$182)/SUM('Road Inventory'!$J$4:$J$182)</f>
        <v/>
      </c>
      <c r="F5" s="34">
        <f>SUMIF('Road Inventory'!$P$4:$P$182,4,'Road Inventory'!$J$4:$J$182)/SUM('Road Inventory'!$J$4:$J$182)</f>
        <v/>
      </c>
    </row>
    <row r="6">
      <c r="A6" s="29" t="n">
        <v>2029</v>
      </c>
      <c r="B6" s="30">
        <f>'Cost Ladder'!E6</f>
        <v/>
      </c>
      <c r="C6" s="34">
        <f>SUMIF('Road Inventory'!$Q$4:$Q$182,1,'Road Inventory'!$J$4:$J$182)/SUM('Road Inventory'!$J$4:$J$182)</f>
        <v/>
      </c>
      <c r="D6" s="34">
        <f>SUMIF('Road Inventory'!$Q$4:$Q$182,2,'Road Inventory'!$J$4:$J$182)/SUM('Road Inventory'!$J$4:$J$182)</f>
        <v/>
      </c>
      <c r="E6" s="34">
        <f>SUMIF('Road Inventory'!$Q$4:$Q$182,3,'Road Inventory'!$J$4:$J$182)/SUM('Road Inventory'!$J$4:$J$182)</f>
        <v/>
      </c>
      <c r="F6" s="34">
        <f>SUMIF('Road Inventory'!$Q$4:$Q$182,4,'Road Inventory'!$J$4:$J$182)/SUM('Road Inventory'!$J$4:$J$182)</f>
        <v/>
      </c>
    </row>
    <row r="7">
      <c r="A7" s="29" t="n">
        <v>2034</v>
      </c>
      <c r="B7" s="30">
        <f>'Cost Ladder'!E7</f>
        <v/>
      </c>
      <c r="C7" s="34">
        <f>SUMIF('Road Inventory'!$R$4:$R$182,1,'Road Inventory'!$J$4:$J$182)/SUM('Road Inventory'!$J$4:$J$182)</f>
        <v/>
      </c>
      <c r="D7" s="34">
        <f>SUMIF('Road Inventory'!$R$4:$R$182,2,'Road Inventory'!$J$4:$J$182)/SUM('Road Inventory'!$J$4:$J$182)</f>
        <v/>
      </c>
      <c r="E7" s="34">
        <f>SUMIF('Road Inventory'!$R$4:$R$182,3,'Road Inventory'!$J$4:$J$182)/SUM('Road Inventory'!$J$4:$J$182)</f>
        <v/>
      </c>
      <c r="F7" s="34">
        <f>SUMIF('Road Inventory'!$R$4:$R$182,4,'Road Inventory'!$J$4:$J$182)/SUM('Road Inventory'!$J$4:$J$182)</f>
        <v/>
      </c>
    </row>
    <row r="8">
      <c r="A8" s="29" t="n">
        <v>2040</v>
      </c>
      <c r="B8" s="30">
        <f>'Cost Ladder'!E8</f>
        <v/>
      </c>
      <c r="C8" s="34">
        <f>SUMIF('Road Inventory'!$S$4:$S$182,1,'Road Inventory'!$J$4:$J$182)/SUM('Road Inventory'!$J$4:$J$182)</f>
        <v/>
      </c>
      <c r="D8" s="34">
        <f>SUMIF('Road Inventory'!$S$4:$S$182,2,'Road Inventory'!$J$4:$J$182)/SUM('Road Inventory'!$J$4:$J$182)</f>
        <v/>
      </c>
      <c r="E8" s="34">
        <f>SUMIF('Road Inventory'!$S$4:$S$182,3,'Road Inventory'!$J$4:$J$182)/SUM('Road Inventory'!$J$4:$J$182)</f>
        <v/>
      </c>
      <c r="F8" s="34">
        <f>SUMIF('Road Inventory'!$S$4:$S$182,4,'Road Inventory'!$J$4:$J$182)/SUM('Road Inventory'!$J$4:$J$182)</f>
        <v/>
      </c>
    </row>
    <row r="11">
      <c r="A11" s="6" t="inlineStr">
        <is>
          <t>By 2040 the model has 90% of Niwot's pavement in the two most expensive bands, and nothing at all left in the cheapest one.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22" customWidth="1" min="1" max="1"/>
    <col width="12" customWidth="1" min="2" max="2"/>
    <col width="14" customWidth="1" min="3" max="3"/>
    <col width="14" customWidth="1" min="4" max="4"/>
    <col width="16" customWidth="1" min="5" max="5"/>
    <col width="16" customWidth="1" min="6" max="6"/>
  </cols>
  <sheetData>
    <row r="1">
      <c r="A1" s="5" t="inlineStr">
        <is>
          <t>Decay Calibration</t>
        </is>
      </c>
    </row>
    <row r="2">
      <c r="A2" s="6" t="inlineStr">
        <is>
          <t>How fast do Niwot roads actually lose condition? These are the segments with a known treatment date, so the drop from PCI 100 can be divided by elapsed years.</t>
        </is>
      </c>
    </row>
    <row r="4">
      <c r="A4" s="19" t="inlineStr">
        <is>
          <t>Street</t>
        </is>
      </c>
      <c r="B4" s="19" t="inlineStr">
        <is>
          <t>PCI 2024</t>
        </is>
      </c>
      <c r="C4" s="19" t="inlineStr">
        <is>
          <t>Treated</t>
        </is>
      </c>
      <c r="D4" s="19" t="inlineStr">
        <is>
          <t>Treatment</t>
        </is>
      </c>
      <c r="E4" s="19" t="inlineStr">
        <is>
          <t>Years elapsed</t>
        </is>
      </c>
      <c r="F4" s="19" t="inlineStr">
        <is>
          <t>Points per year</t>
        </is>
      </c>
    </row>
    <row r="5">
      <c r="A5" s="8" t="inlineStr">
        <is>
          <t>BURGUNDY</t>
        </is>
      </c>
      <c r="B5" s="22" t="n">
        <v>89.43000000000001</v>
      </c>
      <c r="C5" s="8" t="n">
        <v>2020</v>
      </c>
      <c r="D5" s="8" t="inlineStr">
        <is>
          <t>Reconstruct</t>
        </is>
      </c>
      <c r="E5" s="8">
        <f>2024-C5</f>
        <v/>
      </c>
      <c r="F5" s="22">
        <f>(100-B5)/E5</f>
        <v/>
      </c>
    </row>
    <row r="6">
      <c r="A6" s="8" t="inlineStr">
        <is>
          <t>BURGUNDY</t>
        </is>
      </c>
      <c r="B6" s="22" t="n">
        <v>92.68000000000001</v>
      </c>
      <c r="C6" s="8" t="n">
        <v>2020</v>
      </c>
      <c r="D6" s="8" t="inlineStr">
        <is>
          <t>Reconstruct</t>
        </is>
      </c>
      <c r="E6" s="8">
        <f>2024-C6</f>
        <v/>
      </c>
      <c r="F6" s="22">
        <f>(100-B6)/E6</f>
        <v/>
      </c>
    </row>
    <row r="7">
      <c r="A7" s="8" t="inlineStr">
        <is>
          <t>BURGUNDY</t>
        </is>
      </c>
      <c r="B7" s="22" t="n">
        <v>94.15000000000001</v>
      </c>
      <c r="C7" s="8" t="n">
        <v>2020</v>
      </c>
      <c r="D7" s="8" t="inlineStr">
        <is>
          <t>Reconstruct</t>
        </is>
      </c>
      <c r="E7" s="8">
        <f>2024-C7</f>
        <v/>
      </c>
      <c r="F7" s="22">
        <f>(100-B7)/E7</f>
        <v/>
      </c>
    </row>
    <row r="8">
      <c r="A8" s="8" t="inlineStr">
        <is>
          <t>EAST SUSSEX</t>
        </is>
      </c>
      <c r="B8" s="22" t="n">
        <v>95.23999999999999</v>
      </c>
      <c r="C8" s="8" t="n">
        <v>2020</v>
      </c>
      <c r="D8" s="8" t="inlineStr">
        <is>
          <t>Reconstruct</t>
        </is>
      </c>
      <c r="E8" s="8">
        <f>2024-C8</f>
        <v/>
      </c>
      <c r="F8" s="22">
        <f>(100-B8)/E8</f>
        <v/>
      </c>
    </row>
    <row r="9">
      <c r="A9" s="8" t="inlineStr">
        <is>
          <t>FAIRFAX</t>
        </is>
      </c>
      <c r="B9" s="22" t="n">
        <v>94.59</v>
      </c>
      <c r="C9" s="8" t="n">
        <v>2020</v>
      </c>
      <c r="D9" s="8" t="inlineStr">
        <is>
          <t>Reconstruct</t>
        </is>
      </c>
      <c r="E9" s="8">
        <f>2024-C9</f>
        <v/>
      </c>
      <c r="F9" s="22">
        <f>(100-B9)/E9</f>
        <v/>
      </c>
    </row>
    <row r="10">
      <c r="A10" s="8" t="inlineStr">
        <is>
          <t>WELLSHIRE</t>
        </is>
      </c>
      <c r="B10" s="22" t="n">
        <v>77.25</v>
      </c>
      <c r="C10" s="8" t="n">
        <v>2020</v>
      </c>
      <c r="D10" s="8" t="inlineStr">
        <is>
          <t>Reconstruct</t>
        </is>
      </c>
      <c r="E10" s="8">
        <f>2024-C10</f>
        <v/>
      </c>
      <c r="F10" s="22">
        <f>(100-B10)/E10</f>
        <v/>
      </c>
    </row>
    <row r="11">
      <c r="A11" s="8" t="inlineStr">
        <is>
          <t>WEST SUSSEX</t>
        </is>
      </c>
      <c r="B11" s="22" t="n">
        <v>87.36</v>
      </c>
      <c r="C11" s="8" t="n">
        <v>2020</v>
      </c>
      <c r="D11" s="8" t="inlineStr">
        <is>
          <t>Reconstruct</t>
        </is>
      </c>
      <c r="E11" s="8">
        <f>2024-C11</f>
        <v/>
      </c>
      <c r="F11" s="22">
        <f>(100-B11)/E11</f>
        <v/>
      </c>
    </row>
    <row r="12">
      <c r="A12" s="8" t="inlineStr">
        <is>
          <t>MARATHON</t>
        </is>
      </c>
      <c r="B12" s="22" t="n">
        <v>74.41</v>
      </c>
      <c r="C12" s="8" t="n">
        <v>2020</v>
      </c>
      <c r="D12" s="8" t="inlineStr">
        <is>
          <t>Overlay</t>
        </is>
      </c>
      <c r="E12" s="8">
        <f>2024-C12</f>
        <v/>
      </c>
      <c r="F12" s="22">
        <f>(100-B12)/E12</f>
        <v/>
      </c>
    </row>
    <row r="13">
      <c r="A13" s="8" t="inlineStr">
        <is>
          <t>MORTON</t>
        </is>
      </c>
      <c r="B13" s="22" t="n">
        <v>96.16</v>
      </c>
      <c r="C13" s="8" t="n">
        <v>2020</v>
      </c>
      <c r="D13" s="8" t="inlineStr">
        <is>
          <t>Overlay</t>
        </is>
      </c>
      <c r="E13" s="8">
        <f>2024-C13</f>
        <v/>
      </c>
      <c r="F13" s="22">
        <f>(100-B13)/E13</f>
        <v/>
      </c>
    </row>
    <row r="14">
      <c r="A14" s="8" t="inlineStr">
        <is>
          <t>PAIUTE</t>
        </is>
      </c>
      <c r="B14" s="22" t="n">
        <v>97.56999999999999</v>
      </c>
      <c r="C14" s="8" t="n">
        <v>2020</v>
      </c>
      <c r="D14" s="8" t="inlineStr">
        <is>
          <t>Overlay</t>
        </is>
      </c>
      <c r="E14" s="8">
        <f>2024-C14</f>
        <v/>
      </c>
      <c r="F14" s="22">
        <f>(100-B14)/E14</f>
        <v/>
      </c>
    </row>
    <row r="15">
      <c r="A15" s="8" t="inlineStr">
        <is>
          <t>WALKER</t>
        </is>
      </c>
      <c r="B15" s="22" t="n">
        <v>96.48</v>
      </c>
      <c r="C15" s="8" t="n">
        <v>2020</v>
      </c>
      <c r="D15" s="8" t="inlineStr">
        <is>
          <t>Overlay</t>
        </is>
      </c>
      <c r="E15" s="8">
        <f>2024-C15</f>
        <v/>
      </c>
      <c r="F15" s="22">
        <f>(100-B15)/E15</f>
        <v/>
      </c>
    </row>
    <row r="16">
      <c r="A16" s="8" t="inlineStr">
        <is>
          <t>WALKER</t>
        </is>
      </c>
      <c r="B16" s="22" t="n">
        <v>97.03</v>
      </c>
      <c r="C16" s="8" t="n">
        <v>2020</v>
      </c>
      <c r="D16" s="8" t="inlineStr">
        <is>
          <t>Overlay</t>
        </is>
      </c>
      <c r="E16" s="8">
        <f>2024-C16</f>
        <v/>
      </c>
      <c r="F16" s="22">
        <f>(100-B16)/E16</f>
        <v/>
      </c>
    </row>
    <row r="17">
      <c r="A17" s="8" t="inlineStr">
        <is>
          <t>LONGVIEW</t>
        </is>
      </c>
      <c r="B17" s="22" t="n">
        <v>88.39</v>
      </c>
      <c r="C17" s="8" t="n">
        <v>2015</v>
      </c>
      <c r="D17" s="8" t="inlineStr">
        <is>
          <t>Overlay</t>
        </is>
      </c>
      <c r="E17" s="8">
        <f>2024-C17</f>
        <v/>
      </c>
      <c r="F17" s="22">
        <f>(100-B17)/E17</f>
        <v/>
      </c>
    </row>
    <row r="18">
      <c r="A18" s="8" t="inlineStr">
        <is>
          <t>LONGVIEW</t>
        </is>
      </c>
      <c r="B18" s="22" t="n">
        <v>89.95999999999999</v>
      </c>
      <c r="C18" s="8" t="n">
        <v>2015</v>
      </c>
      <c r="D18" s="8" t="inlineStr">
        <is>
          <t>Overlay</t>
        </is>
      </c>
      <c r="E18" s="8">
        <f>2024-C18</f>
        <v/>
      </c>
      <c r="F18" s="22">
        <f>(100-B18)/E18</f>
        <v/>
      </c>
    </row>
    <row r="19">
      <c r="A19" s="25" t="inlineStr">
        <is>
          <t>Average</t>
        </is>
      </c>
      <c r="B19" s="26" t="n"/>
      <c r="C19" s="26" t="n"/>
      <c r="D19" s="26" t="n"/>
      <c r="E19" s="26" t="n"/>
      <c r="F19" s="35">
        <f>AVERAGE(F5:F18)</f>
        <v/>
      </c>
    </row>
    <row r="21">
      <c r="A21" s="6" t="inlineStr"/>
    </row>
    <row r="22">
      <c r="A22" s="6" t="inlineStr">
        <is>
          <t>Assumes reconstruction and overlay return a road to PCI 100.</t>
        </is>
      </c>
    </row>
    <row r="23">
      <c r="A23" s="6" t="inlineStr"/>
    </row>
    <row r="24">
      <c r="A24" s="6" t="inlineStr">
        <is>
          <t>The source model divided every row by 4 years, including two Longview Dr segments treated in 2015, which are nine</t>
        </is>
      </c>
    </row>
    <row r="25">
      <c r="A25" s="6" t="inlineStr">
        <is>
          <t>years old. That produced an average of 2.31 points per year. Corrected for elapsed time, the local average is 2.09.</t>
        </is>
      </c>
    </row>
    <row r="26">
      <c r="A26" s="6" t="inlineStr"/>
    </row>
    <row r="27">
      <c r="A27" s="6" t="inlineStr">
        <is>
          <t>The model uses a flat 2.0 points per year — below both figures, and applied as a straight line with no acceleration.</t>
        </is>
      </c>
    </row>
    <row r="28">
      <c r="A28" s="6" t="inlineStr">
        <is>
          <t>Published pavement research (FHWA) describes decay as a curve that steepens sharply below roughly PCI 55-70 rather</t>
        </is>
      </c>
    </row>
    <row r="29">
      <c r="A29" s="6" t="inlineStr">
        <is>
          <t>than a straight line. Niwot's measured average is 44. Modeling it as linear is therefore the conservative choice.</t>
        </is>
      </c>
    </row>
    <row r="30">
      <c r="A30" s="6" t="inlineStr"/>
    </row>
    <row r="31">
      <c r="A31" s="6" t="inlineStr">
        <is>
          <t>No source publishes a universal decay rate; every one of them says it must be calibrated locally. That is what this</t>
        </is>
      </c>
    </row>
    <row r="32">
      <c r="A32" s="6" t="inlineStr">
        <is>
          <t>sheet is for, and fourteen segments is a thin sample. Treat 2.0 as a defensible assumption, not a measurement.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40" customWidth="1" min="1" max="1"/>
    <col width="52" customWidth="1" min="2" max="2"/>
    <col width="16" customWidth="1" min="3" max="3"/>
    <col width="58" customWidth="1" min="4" max="4"/>
  </cols>
  <sheetData>
    <row r="1">
      <c r="A1" s="5" t="inlineStr">
        <is>
          <t>Bid Buildup</t>
        </is>
      </c>
    </row>
    <row r="2">
      <c r="A2" s="6" t="inlineStr">
        <is>
          <t>The Son-Haul, Inc. base bid and the overheads it excludes. This is where the delivered $/sf on the Assumptions sheet comes from.</t>
        </is>
      </c>
    </row>
    <row r="4">
      <c r="A4" s="19" t="inlineStr">
        <is>
          <t>Line item</t>
        </is>
      </c>
      <c r="B4" s="19" t="inlineStr">
        <is>
          <t>Description</t>
        </is>
      </c>
      <c r="C4" s="19" t="inlineStr">
        <is>
          <t>Estimated cost</t>
        </is>
      </c>
      <c r="D4" s="19" t="inlineStr">
        <is>
          <t>Notes / source</t>
        </is>
      </c>
    </row>
    <row r="5">
      <c r="A5" s="36" t="inlineStr">
        <is>
          <t>Son-Haul Base Bid</t>
        </is>
      </c>
      <c r="B5" s="36" t="inlineStr">
        <is>
          <t>All pavement treatments (FDR on poor roads, mill &amp; overlay, seal coats, crack sealing)</t>
        </is>
      </c>
      <c r="C5" s="37" t="n">
        <v>6954955</v>
      </c>
      <c r="D5" s="36" t="inlineStr">
        <is>
          <t>Bid total as submitted</t>
        </is>
      </c>
    </row>
    <row r="6">
      <c r="A6" s="36" t="inlineStr">
        <is>
          <t>Performance/Payment Bond</t>
        </is>
      </c>
      <c r="B6" s="36" t="inlineStr">
        <is>
          <t>2% of base bid (required on most public projects)</t>
        </is>
      </c>
      <c r="C6" s="37" t="n">
        <v>139099</v>
      </c>
      <c r="D6" s="36" t="inlineStr">
        <is>
          <t>Explicitly noted in Son-Haul bid; standard for municipal work</t>
        </is>
      </c>
    </row>
    <row r="7">
      <c r="A7" s="36" t="inlineStr">
        <is>
          <t>Mobilization</t>
        </is>
      </c>
      <c r="B7" s="36" t="inlineStr">
        <is>
          <t>Contractor setup, demobilization, equipment transport</t>
        </is>
      </c>
      <c r="C7" s="37" t="n">
        <v>347748</v>
      </c>
      <c r="D7" s="36" t="inlineStr">
        <is>
          <t>5% of base (typical range 4–8% for mid-size paving jobs in CO)</t>
        </is>
      </c>
    </row>
    <row r="8">
      <c r="A8" s="36" t="inlineStr">
        <is>
          <t>Traffic Control</t>
        </is>
      </c>
      <c r="B8" s="36" t="inlineStr">
        <is>
          <t>Flagging, signs, barricades, management during work</t>
        </is>
      </c>
      <c r="C8" s="37" t="n">
        <v>243423</v>
      </c>
      <c r="D8" s="36" t="inlineStr">
        <is>
          <t>3.5% of base (CDOT pay estimates show $1,000–$1,400/day; multi-road project)</t>
        </is>
      </c>
    </row>
    <row r="9">
      <c r="A9" s="36" t="inlineStr">
        <is>
          <t>Erosion Control / SWMP</t>
        </is>
      </c>
      <c r="B9" s="36" t="inlineStr">
        <is>
          <t>Silt fence, seeding, stormwater management plan</t>
        </is>
      </c>
      <c r="C9" s="37" t="n">
        <v>69550</v>
      </c>
      <c r="D9" s="36" t="inlineStr">
        <is>
          <t>1% of base (required by CDPHE/CDOT for any earth disturbance)</t>
        </is>
      </c>
    </row>
    <row r="10">
      <c r="A10" s="36" t="inlineStr">
        <is>
          <t>Mix Design &amp; Testing</t>
        </is>
      </c>
      <c r="B10" s="36" t="inlineStr">
        <is>
          <t>Lab mix design, compaction testing, material verification (especially FDR)</t>
        </is>
      </c>
      <c r="C10" s="37" t="n">
        <v>175000</v>
      </c>
      <c r="D10" s="36" t="inlineStr">
        <is>
          <t>Excluded in bid; typical $100k–$250k for FDR + asphalt stabilization on this scale</t>
        </is>
      </c>
    </row>
    <row r="11">
      <c r="A11" s="36" t="inlineStr">
        <is>
          <t>Water Source &amp; Usage</t>
        </is>
      </c>
      <c r="B11" s="36" t="inlineStr">
        <is>
          <t>Water for FDR mixing/compaction (noted as excluded)</t>
        </is>
      </c>
      <c r="C11" s="37" t="n">
        <v>75000</v>
      </c>
      <c r="D11" s="36" t="inlineStr">
        <is>
          <t>Excluded in bid; FDR can require tens of thousands of gallons</t>
        </is>
      </c>
    </row>
    <row r="12">
      <c r="A12" s="36" t="inlineStr">
        <is>
          <t>Subgrade Grading, Compaction Support &amp; Material Import</t>
        </is>
      </c>
      <c r="B12" s="36" t="inlineStr">
        <is>
          <t>Balancing subgrade, additional base import if needed for stabilization</t>
        </is>
      </c>
      <c r="C12" s="37" t="n">
        <v>450000</v>
      </c>
      <c r="D12" s="36" t="inlineStr">
        <is>
          <t>Exclusion in notes; ~9% on the $4.93M Poor category only</t>
        </is>
      </c>
    </row>
    <row r="13">
      <c r="A13" s="38" t="inlineStr">
        <is>
          <t>Construction Subtotal</t>
        </is>
      </c>
      <c r="B13" s="38" t="inlineStr">
        <is>
          <t>Direct contractor work + above adders</t>
        </is>
      </c>
      <c r="C13" s="39" t="n">
        <v>8454775</v>
      </c>
      <c r="D13" s="38" t="inlineStr">
        <is>
          <t>≈ 21.5% markup on base bid</t>
        </is>
      </c>
    </row>
    <row r="14">
      <c r="A14" s="36" t="inlineStr">
        <is>
          <t>Engineering / Design / Bid Solicitation</t>
        </is>
      </c>
      <c r="B14" s="36" t="inlineStr">
        <is>
          <t>Plans, specs, bidding, permitting</t>
        </is>
      </c>
      <c r="C14" s="37" t="n">
        <v>550000</v>
      </c>
      <c r="D14" s="36" t="inlineStr">
        <is>
          <t>≈ 8% of construction subtotal (standard municipal soft-cost range)</t>
        </is>
      </c>
    </row>
    <row r="15">
      <c r="A15" s="36" t="inlineStr">
        <is>
          <t>Project Supervision / Inspections / CM</t>
        </is>
      </c>
      <c r="B15" s="36" t="inlineStr">
        <is>
          <t>Resident engineer, daily inspection, quality control</t>
        </is>
      </c>
      <c r="C15" s="37" t="n">
        <v>450000</v>
      </c>
      <c r="D15" s="36" t="inlineStr">
        <is>
          <t>≈ 6.5% of construction subtotal</t>
        </is>
      </c>
    </row>
    <row r="16">
      <c r="A16" s="36" t="inlineStr">
        <is>
          <t>Contingency</t>
        </is>
      </c>
      <c r="B16" s="36" t="inlineStr">
        <is>
          <t>Unforeseen conditions, price escalation, change orders</t>
        </is>
      </c>
      <c r="C16" s="37" t="n">
        <v>950000</v>
      </c>
      <c r="D16" s="36" t="inlineStr">
        <is>
          <t>10% of construction subtotal (typical for multi-site road program)</t>
        </is>
      </c>
    </row>
    <row r="17">
      <c r="A17" s="38" t="inlineStr">
        <is>
          <t>Soft-Cost Subtotal</t>
        </is>
      </c>
      <c r="B17" s="38" t="inlineStr">
        <is>
          <t>All non-construction items</t>
        </is>
      </c>
      <c r="C17" s="39" t="n">
        <v>1950000</v>
      </c>
      <c r="D17" s="38" t="n"/>
    </row>
    <row r="18">
      <c r="A18" s="38" t="inlineStr">
        <is>
          <t xml:space="preserve">PROJECT TOTAL </t>
        </is>
      </c>
      <c r="B18" s="38" t="inlineStr">
        <is>
          <t>Full estimated delivered cost</t>
        </is>
      </c>
      <c r="C18" s="38" t="inlineStr">
        <is>
          <t>≈ $10.4 million</t>
        </is>
      </c>
      <c r="D18" s="38" t="inlineStr">
        <is>
          <t>Range: $9.8M – $11.0M depending on actual testing/grading needs</t>
        </is>
      </c>
    </row>
    <row r="19">
      <c r="A19" s="6" t="inlineStr"/>
    </row>
    <row r="20">
      <c r="A20" s="6" t="inlineStr">
        <is>
          <t>How the gross-ups on the Assumptions sheet are derived:</t>
        </is>
      </c>
    </row>
    <row r="21">
      <c r="A21" s="6" t="inlineStr"/>
    </row>
    <row r="22">
      <c r="A22" s="6" t="inlineStr">
        <is>
          <t>FDR carries every adder — bonding, mobilization, traffic control, erosion control, mix design and testing, water,</t>
        </is>
      </c>
    </row>
    <row r="23">
      <c r="A23" s="6" t="inlineStr">
        <is>
          <t>and subgrade grading with material import — for a 40% uplift on the $4.05/sf base.</t>
        </is>
      </c>
    </row>
    <row r="24">
      <c r="A24" s="6" t="inlineStr">
        <is>
          <t>Mill &amp; overlay carries bonding, mobilization, traffic control and erosion control: 22% on $2.00/sf.</t>
        </is>
      </c>
    </row>
    <row r="25">
      <c r="A25" s="6" t="inlineStr">
        <is>
          <t>Seal treatments carry bonding, mobilization and traffic control: 19% on $0.45/sf and $0.10/sf.</t>
        </is>
      </c>
    </row>
    <row r="26">
      <c r="A26" s="6" t="inlineStr"/>
    </row>
    <row r="27">
      <c r="A27" s="6" t="inlineStr">
        <is>
          <t>Niwot is almost entirely curbless, so no curb work is included. The scanned bid is reproduced at</t>
        </is>
      </c>
    </row>
    <row r="28">
      <c r="A28" s="6" t="inlineStr">
        <is>
          <t>niwot.town/papers/road-information under Appendix 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2026-08-31T18:38:41Z</dcterms:created>
  <dcterms:modified xsi:type="dcterms:W3CDTF">2026-08-31T18:38:42Z</dcterms:modified>
</cp:coreProperties>
</file>